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60" yWindow="240" windowWidth="11670" windowHeight="9435" tabRatio="860" activeTab="2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1'!$A$3:$G$71</definedName>
    <definedName name="_xlnm.Print_Area" localSheetId="2">'Раздел 2'!$A$2:$I$50</definedName>
    <definedName name="_xlnm.Print_Area" localSheetId="3">'Расчеты 2022г'!$A$1:$P$263</definedName>
  </definedNames>
  <calcPr calcId="124519"/>
</workbook>
</file>

<file path=xl/calcChain.xml><?xml version="1.0" encoding="utf-8"?>
<calcChain xmlns="http://schemas.openxmlformats.org/spreadsheetml/2006/main">
  <c r="F1" i="21"/>
  <c r="F19"/>
  <c r="F16" l="1"/>
  <c r="F8"/>
  <c r="J240" i="29" l="1"/>
  <c r="G52" l="1"/>
  <c r="G55"/>
  <c r="G56"/>
  <c r="G57"/>
  <c r="R51"/>
  <c r="K13"/>
  <c r="I13"/>
  <c r="H249"/>
  <c r="H13"/>
  <c r="D35" i="12"/>
  <c r="H253" i="29" l="1"/>
  <c r="H254"/>
  <c r="H255"/>
  <c r="H256"/>
  <c r="H257"/>
  <c r="H258"/>
  <c r="H259"/>
  <c r="H260"/>
  <c r="H261"/>
  <c r="H262"/>
  <c r="T251"/>
  <c r="G13"/>
  <c r="Q14"/>
  <c r="H14"/>
  <c r="G14"/>
  <c r="Q15"/>
  <c r="G231" l="1"/>
  <c r="G232"/>
  <c r="G233"/>
  <c r="G234"/>
  <c r="G235"/>
  <c r="G236"/>
  <c r="T234"/>
  <c r="G228"/>
  <c r="D30" i="12" l="1"/>
  <c r="H269" i="29"/>
  <c r="H130"/>
  <c r="I130" s="1"/>
  <c r="U251"/>
  <c r="D14" i="12" l="1"/>
  <c r="G185" i="29"/>
  <c r="M203" l="1"/>
  <c r="G189"/>
  <c r="G168"/>
  <c r="H252"/>
  <c r="H251" s="1"/>
  <c r="H263" s="1"/>
  <c r="T183"/>
  <c r="G167"/>
  <c r="F277" l="1"/>
  <c r="G229"/>
  <c r="G230"/>
  <c r="G237"/>
  <c r="G238"/>
  <c r="G239"/>
  <c r="G240" l="1"/>
  <c r="G201"/>
  <c r="G200"/>
  <c r="G162"/>
  <c r="G165"/>
  <c r="E99"/>
  <c r="J58"/>
  <c r="M13"/>
  <c r="G220"/>
  <c r="J220" s="1"/>
  <c r="G199"/>
  <c r="G198"/>
  <c r="G196"/>
  <c r="G197"/>
  <c r="G195"/>
  <c r="G181"/>
  <c r="G182"/>
  <c r="G166"/>
  <c r="U57"/>
  <c r="U15"/>
  <c r="K99" l="1"/>
  <c r="S98"/>
  <c r="G186"/>
  <c r="H203"/>
  <c r="G193"/>
  <c r="G202"/>
  <c r="G161"/>
  <c r="V14" l="1"/>
  <c r="E15" l="1"/>
  <c r="G15" l="1"/>
  <c r="H15"/>
  <c r="O13"/>
  <c r="G10" i="12"/>
  <c r="N263" i="29"/>
  <c r="L269"/>
  <c r="K263"/>
  <c r="G192"/>
  <c r="G191"/>
  <c r="G187"/>
  <c r="G184"/>
  <c r="G183"/>
  <c r="G170"/>
  <c r="G164"/>
  <c r="G163"/>
  <c r="G151"/>
  <c r="G148"/>
  <c r="G147"/>
  <c r="G129"/>
  <c r="G128"/>
  <c r="E79"/>
  <c r="G53"/>
  <c r="F14"/>
  <c r="F13"/>
  <c r="Q13"/>
  <c r="F15" l="1"/>
  <c r="J14"/>
  <c r="K14" s="1"/>
  <c r="U252"/>
  <c r="T252" s="1"/>
  <c r="J13"/>
  <c r="J15"/>
  <c r="K15" s="1"/>
  <c r="S14" l="1"/>
  <c r="R11"/>
  <c r="L13"/>
  <c r="L15"/>
  <c r="S15"/>
  <c r="R15" s="1"/>
  <c r="I8" i="21"/>
  <c r="L275" i="29"/>
  <c r="L274"/>
  <c r="L273"/>
  <c r="L271"/>
  <c r="L270"/>
  <c r="E35" i="12"/>
  <c r="E30" s="1"/>
  <c r="F35"/>
  <c r="F30" s="1"/>
  <c r="E57"/>
  <c r="G8" i="21" s="1"/>
  <c r="G15" s="1"/>
  <c r="F57" i="12"/>
  <c r="H8" i="21" s="1"/>
  <c r="H15" s="1"/>
  <c r="G57" i="12"/>
  <c r="D57"/>
  <c r="E46"/>
  <c r="F46"/>
  <c r="D46"/>
  <c r="G169" i="29"/>
  <c r="E14" i="12"/>
  <c r="F14"/>
  <c r="G14"/>
  <c r="H270" i="29"/>
  <c r="E19" i="12"/>
  <c r="F19"/>
  <c r="G19"/>
  <c r="D19"/>
  <c r="D11" s="1"/>
  <c r="L277" i="29" l="1"/>
  <c r="D29" i="12"/>
  <c r="D10" s="1"/>
  <c r="L14" i="29"/>
  <c r="R14"/>
  <c r="S13"/>
  <c r="R13" s="1"/>
  <c r="H33" i="21"/>
  <c r="H1"/>
  <c r="G33"/>
  <c r="G1"/>
  <c r="F15"/>
  <c r="F29" i="12"/>
  <c r="F11"/>
  <c r="E11"/>
  <c r="E29"/>
  <c r="L272" i="29"/>
  <c r="H271" l="1"/>
  <c r="H272" s="1"/>
  <c r="D2" i="12"/>
  <c r="L278" i="29"/>
  <c r="F10" i="12"/>
  <c r="F33" i="21"/>
  <c r="D1" i="12"/>
  <c r="E10"/>
  <c r="F2"/>
  <c r="F1"/>
  <c r="E1"/>
  <c r="E2"/>
  <c r="R53" i="29"/>
  <c r="H58" l="1"/>
  <c r="G160" l="1"/>
  <c r="H81"/>
  <c r="K273" s="1"/>
  <c r="K271"/>
  <c r="F250"/>
  <c r="I263"/>
  <c r="F247"/>
  <c r="G212"/>
  <c r="H212" s="1"/>
  <c r="G190"/>
  <c r="G188"/>
  <c r="G180"/>
  <c r="M172"/>
  <c r="H172"/>
  <c r="G171"/>
  <c r="J172"/>
  <c r="G119"/>
  <c r="G110"/>
  <c r="K275"/>
  <c r="E90"/>
  <c r="K274" s="1"/>
  <c r="Q79"/>
  <c r="M58"/>
  <c r="Q58" s="1"/>
  <c r="R56"/>
  <c r="H34"/>
  <c r="K270" s="1"/>
  <c r="E25"/>
  <c r="P16"/>
  <c r="O16"/>
  <c r="N16"/>
  <c r="M16"/>
  <c r="S263" l="1"/>
  <c r="T263" s="1"/>
  <c r="F269"/>
  <c r="G172"/>
  <c r="G25"/>
  <c r="G203"/>
  <c r="K277" s="1"/>
  <c r="F271"/>
  <c r="D271" s="1"/>
  <c r="S264"/>
  <c r="M274"/>
  <c r="N274"/>
  <c r="M270"/>
  <c r="N270"/>
  <c r="M275"/>
  <c r="N275"/>
  <c r="M271"/>
  <c r="N271"/>
  <c r="R57"/>
  <c r="F248"/>
  <c r="R55"/>
  <c r="F90"/>
  <c r="K276"/>
  <c r="Q172"/>
  <c r="I81"/>
  <c r="I34"/>
  <c r="J203"/>
  <c r="F270" s="1"/>
  <c r="D270" s="1"/>
  <c r="T164"/>
  <c r="R52" l="1"/>
  <c r="T184"/>
  <c r="R172"/>
  <c r="M273"/>
  <c r="N273"/>
  <c r="M276"/>
  <c r="N276"/>
  <c r="G271"/>
  <c r="T169"/>
  <c r="K16"/>
  <c r="K269" s="1"/>
  <c r="Q173"/>
  <c r="Q203"/>
  <c r="Q204" s="1"/>
  <c r="G27" i="12"/>
  <c r="G270" i="29" l="1"/>
  <c r="R203"/>
  <c r="L16"/>
  <c r="N269"/>
  <c r="F52"/>
  <c r="U16"/>
  <c r="V15"/>
  <c r="G51" l="1"/>
  <c r="M269"/>
  <c r="F57"/>
  <c r="F55"/>
  <c r="F56"/>
  <c r="G54" l="1"/>
  <c r="G58" s="1"/>
  <c r="U59" l="1"/>
  <c r="K272"/>
  <c r="N272" s="1"/>
  <c r="S58"/>
  <c r="Q59"/>
  <c r="U58"/>
  <c r="M272" l="1"/>
  <c r="G149"/>
  <c r="G150"/>
  <c r="I152"/>
  <c r="N277" s="1"/>
  <c r="K278" l="1"/>
  <c r="J152"/>
  <c r="D269" s="1"/>
  <c r="M277"/>
  <c r="N278" l="1"/>
  <c r="K280"/>
  <c r="M278"/>
  <c r="F272" l="1"/>
  <c r="K279" s="1"/>
  <c r="G269"/>
  <c r="G272" s="1"/>
</calcChain>
</file>

<file path=xl/sharedStrings.xml><?xml version="1.0" encoding="utf-8"?>
<sst xmlns="http://schemas.openxmlformats.org/spreadsheetml/2006/main" count="1259" uniqueCount="443">
  <si>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</si>
  <si>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</si>
  <si>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</si>
  <si>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</si>
  <si>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</si>
  <si>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</si>
  <si>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</si>
  <si>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</si>
  <si>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</si>
  <si>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</si>
  <si>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</si>
  <si>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</si>
  <si>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</si>
  <si>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</si>
  <si>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</si>
  <si>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</si>
  <si>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</si>
  <si>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</si>
  <si>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</si>
  <si>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</si>
  <si>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</si>
  <si>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</si>
  <si>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</si>
  <si>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</si>
  <si>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</si>
  <si>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</si>
  <si>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</si>
  <si>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</si>
  <si>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</si>
  <si>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</si>
  <si>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</si>
  <si>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</si>
  <si>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</si>
  <si>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</si>
  <si>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</si>
  <si>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</si>
  <si>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</si>
  <si>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</si>
  <si>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</si>
  <si>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</si>
  <si>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</si>
  <si>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</si>
  <si>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</si>
  <si>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</si>
  <si>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</si>
  <si>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</si>
  <si>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</si>
  <si>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</si>
  <si>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</si>
  <si>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</si>
  <si>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</si>
  <si>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</si>
  <si>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</si>
  <si>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</si>
  <si>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</si>
  <si>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</si>
  <si>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</si>
  <si>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</si>
  <si>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</si>
  <si>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</si>
  <si>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</si>
  <si>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</si>
  <si>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</si>
  <si>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</si>
  <si>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</si>
  <si>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</si>
  <si>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</si>
  <si>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</si>
  <si>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</si>
  <si>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</si>
  <si>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</si>
  <si>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</si>
  <si>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</si>
  <si>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</si>
  <si>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</si>
  <si>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</si>
  <si>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</si>
  <si>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</si>
  <si>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</si>
  <si>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</si>
  <si>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</si>
  <si>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</si>
  <si>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</si>
  <si>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</si>
  <si>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</si>
  <si>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</si>
  <si>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</si>
  <si>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</si>
  <si>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</si>
  <si>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</si>
  <si>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</si>
  <si>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в том числе:                                                                              на выплаты по оплате труда</t>
  </si>
  <si>
    <t>на иные выплаты работникам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</si>
  <si>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</si>
  <si>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</si>
  <si>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</si>
  <si>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</si>
  <si>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</si>
  <si>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</si>
  <si>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</si>
  <si>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</si>
  <si>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</si>
  <si>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</si>
  <si>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</si>
  <si>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</si>
  <si>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</si>
  <si>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</si>
  <si>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</si>
  <si>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</si>
  <si>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</si>
  <si>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</si>
  <si>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</si>
  <si>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</si>
  <si>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</si>
  <si>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</si>
  <si>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</si>
  <si>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</si>
  <si>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</si>
  <si>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</si>
  <si>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</si>
  <si>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</si>
  <si>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</si>
  <si>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</si>
  <si>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</si>
  <si>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</si>
  <si>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</si>
  <si>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</si>
  <si>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</si>
  <si>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</si>
  <si>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</si>
  <si>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</si>
  <si>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</si>
  <si>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</si>
  <si>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</si>
  <si>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</si>
  <si>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</si>
  <si>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</si>
  <si>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</si>
  <si>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</si>
  <si>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</si>
  <si>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</si>
  <si>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</si>
  <si>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</si>
  <si>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</si>
  <si>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</si>
  <si>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</si>
  <si>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</si>
  <si>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</si>
  <si>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</si>
  <si>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</si>
  <si>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</si>
  <si>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</si>
  <si>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</si>
  <si>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</si>
  <si>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</si>
  <si>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</si>
  <si>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</si>
  <si>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</si>
  <si>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</si>
  <si>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</si>
  <si>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</si>
  <si>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</si>
  <si>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</si>
  <si>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</si>
  <si>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</si>
  <si>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</si>
  <si>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</si>
  <si>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</si>
  <si>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</si>
  <si>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</si>
  <si>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</si>
  <si>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</si>
  <si>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</si>
  <si>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</si>
  <si>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</si>
  <si>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</si>
  <si>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</si>
  <si>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</si>
  <si>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</si>
  <si>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</si>
  <si>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</si>
  <si>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</si>
  <si>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</si>
  <si>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</si>
  <si>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</si>
  <si>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</si>
  <si>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</si>
  <si>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</si>
  <si>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</si>
  <si>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</si>
  <si>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</si>
  <si>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</si>
  <si>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</si>
  <si>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</si>
  <si>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</si>
  <si>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</si>
  <si>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</si>
  <si>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</si>
  <si>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</si>
  <si>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</si>
  <si>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</si>
  <si>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</si>
  <si>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</si>
  <si>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</si>
  <si>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</si>
  <si>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</si>
  <si>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</si>
  <si>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</si>
  <si>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</si>
  <si>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</si>
  <si>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</si>
  <si>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</si>
  <si>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</si>
  <si>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</si>
  <si>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</si>
  <si>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</si>
  <si>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</si>
  <si>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</si>
  <si>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</si>
  <si>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</si>
  <si>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</si>
  <si>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</si>
  <si>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</si>
  <si>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</si>
  <si>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</si>
  <si>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</si>
  <si>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5.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</si>
  <si>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</si>
  <si>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</si>
  <si>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</si>
  <si>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</si>
  <si>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</si>
  <si>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</si>
  <si>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</si>
  <si>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</si>
  <si>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</si>
  <si>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</si>
  <si>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</si>
  <si>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</si>
  <si>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</si>
  <si>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</si>
  <si>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</si>
  <si>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</si>
  <si>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</si>
  <si>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</si>
  <si>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</si>
  <si>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</si>
  <si>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</si>
  <si>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</si>
  <si>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</si>
  <si>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</si>
  <si>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</si>
  <si>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</si>
  <si>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</si>
  <si>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</si>
  <si>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</si>
  <si>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</si>
  <si>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</si>
  <si>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</si>
  <si>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</si>
  <si>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</si>
  <si>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</si>
  <si>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</si>
  <si>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</si>
  <si>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</si>
  <si>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</si>
  <si>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Оплата услуг водоснабжения</t>
  </si>
  <si>
    <t>Оплата услуг водоотведения и вывоз жидких бытовых отходов при отсутствии центральной системы канализации</t>
  </si>
  <si>
    <t>9.</t>
  </si>
  <si>
    <t>Техническое обслуживание автоматических установок противопожарной защиты (ТО АПС)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</si>
  <si>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</si>
  <si>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</si>
  <si>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Гигиеническое обучение, лабораторно-производственный контроль, паразитологическое исследование</t>
  </si>
  <si>
    <t>Приобретение квалифицированного сертификата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</si>
  <si>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</si>
  <si>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</si>
  <si>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</si>
  <si>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</si>
  <si>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</si>
  <si>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</si>
  <si>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</si>
  <si>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</si>
  <si>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</si>
  <si>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</si>
  <si>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</si>
  <si>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</si>
  <si>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</si>
  <si>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</si>
  <si>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</si>
  <si>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</si>
  <si>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</si>
  <si>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</si>
  <si>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</si>
  <si>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</si>
  <si>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</si>
  <si>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</si>
  <si>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</si>
  <si>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</si>
  <si>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</si>
  <si>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</si>
  <si>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</si>
  <si>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</si>
  <si>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</si>
  <si>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</si>
  <si>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ИЦ</t>
  </si>
  <si>
    <t>ст.341</t>
  </si>
  <si>
    <t>ст.342</t>
  </si>
  <si>
    <t>ст.346</t>
  </si>
  <si>
    <t>ст.349</t>
  </si>
  <si>
    <t xml:space="preserve">МЗ </t>
  </si>
  <si>
    <t>ВР 113</t>
  </si>
  <si>
    <t>ВР 851</t>
  </si>
  <si>
    <t>ВР 852</t>
  </si>
  <si>
    <t>ВР 853</t>
  </si>
  <si>
    <t>ВР</t>
  </si>
  <si>
    <t>ВСЕГО</t>
  </si>
  <si>
    <t>Установленная среднесписочная численность, (единиц)</t>
  </si>
  <si>
    <t>МЗ субв. ОУ</t>
  </si>
  <si>
    <t>МЗ мест. 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</si>
  <si>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</si>
  <si>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</si>
  <si>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</si>
  <si>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Канцелярские принадлежности, бумага</t>
  </si>
  <si>
    <t>4.3.</t>
  </si>
  <si>
    <t>4.4.</t>
  </si>
  <si>
    <t>остаток</t>
  </si>
  <si>
    <t>Педагогические работники</t>
  </si>
  <si>
    <t xml:space="preserve">Муниципальное автономное общеобразовательное учреждение "Средняя общеобразовательная школа № 3" имени Героя Советского Союза  И.А.Акимова города Сорочинска Оренбургской области           
Муниципальное автономное общеобразовательное учреждение "Средняя общеобразовательная школа №3" имени Героя Советского Союза  И.А.Акимова города Сорочинска Оренбургской области           
</t>
  </si>
  <si>
    <t>Раздел 1. Поступления и выплаты</t>
  </si>
  <si>
    <t>Организация обучения руководителей учреждений, ответственных за энергоэффективностьметодом энергосбережения, технико экономической оценки энергосберегающих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</si>
  <si>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</si>
  <si>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МЗ суб</t>
  </si>
  <si>
    <t>Моющие средства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</si>
  <si>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</si>
  <si>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</si>
  <si>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</si>
  <si>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</si>
  <si>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2420</t>
  </si>
  <si>
    <t>Код бюджетной классификации Российской Федерации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</si>
  <si>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</si>
  <si>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</si>
  <si>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</si>
  <si>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</si>
  <si>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</si>
  <si>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</si>
  <si>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</si>
  <si>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</si>
  <si>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</si>
  <si>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</si>
  <si>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</si>
  <si>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>Обучение по охране труда</t>
  </si>
  <si>
    <t>Услуги хостинга</t>
  </si>
  <si>
    <t>Количество (усл.ед..)</t>
  </si>
  <si>
    <t>МЗ</t>
  </si>
  <si>
    <t>ИТОГО</t>
  </si>
  <si>
    <t>иные</t>
  </si>
  <si>
    <t xml:space="preserve"> Организ.видеонаблюдения провед.ЕГЭ</t>
  </si>
  <si>
    <t xml:space="preserve">Проведению негосударств.экспертизы </t>
  </si>
  <si>
    <t>Хозтовары</t>
  </si>
  <si>
    <t>Дератизация, дезинфекция</t>
  </si>
  <si>
    <t>закупка энергетических ресурсов</t>
  </si>
  <si>
    <t>2650</t>
  </si>
  <si>
    <t>взносы по обязательное социальное страхование в части выплат персоналу, подлежащих обложению страховыми взносами</t>
  </si>
  <si>
    <t xml:space="preserve"> </t>
  </si>
  <si>
    <t>из них:                                                                                       гранты, предоставляемые бюджетным учреждениям</t>
  </si>
  <si>
    <t xml:space="preserve">гранты, предоставляемые автономным учреждениям 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</si>
  <si>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</si>
  <si>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</si>
  <si>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</si>
  <si>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</si>
  <si>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</si>
  <si>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Проведение капитального ремонта в спортивных залах общеобразовательных организаций, расположенных в сельской местности</t>
  </si>
  <si>
    <t>Поверка приборов учета энергоресурсов</t>
  </si>
  <si>
    <t>Компенсация дополнительных расходов, связанных с проживанием вне места постоянного проживания (проезд, проживание)</t>
  </si>
  <si>
    <t>Пюржавель</t>
  </si>
  <si>
    <t>Стпроительно-монтажные работы</t>
  </si>
  <si>
    <t xml:space="preserve">Муниципального автономного общеобразовательного учреждения "Средняя общеобразовательная школа № 3" имени Героя Советского Союза  И.А.Акимова города Сорочинска Оренбургской области    </t>
  </si>
  <si>
    <t xml:space="preserve">Приобретение и оборудование освещения по периметру зданий школы </t>
  </si>
  <si>
    <t>Х</t>
  </si>
  <si>
    <t>Приобретение аттестатов</t>
  </si>
  <si>
    <t>ст 343</t>
  </si>
  <si>
    <t>Масло</t>
  </si>
  <si>
    <t>ПД</t>
  </si>
  <si>
    <t>Работы по сроч.обслед.и разработки против-ных мероприятий по ликвидации авар.сит.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</si>
  <si>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ОО  (022ЕВ51790)</t>
  </si>
  <si>
    <t>2120</t>
  </si>
  <si>
    <t>2140</t>
  </si>
  <si>
    <t>2141</t>
  </si>
  <si>
    <t>2142</t>
  </si>
  <si>
    <t>2143</t>
  </si>
  <si>
    <t>Обеспечение проведения аттестации рабочих мест по условиям труда</t>
  </si>
  <si>
    <t xml:space="preserve">Поверка приборов учета энергоресурсов </t>
  </si>
  <si>
    <t>манометры</t>
  </si>
  <si>
    <t>остаток ПДД на 01.01.2023г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</si>
  <si>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 С.В.Муштаева    </t>
    </r>
    <r>
      <rPr>
        <sz val="12"/>
        <color theme="1"/>
        <rFont val="Times New Roman"/>
        <family val="1"/>
        <charset val="204"/>
      </rPr>
      <t>/</t>
    </r>
  </si>
  <si>
    <t>Муштаева С.В.</t>
  </si>
  <si>
    <t>Модернизация объектов</t>
  </si>
  <si>
    <t>Закупка товаров, работ и услуг в целях капитального ремонта государственного (муниципального) имущества</t>
  </si>
  <si>
    <t>Компенсация дополнительных расходов, связанных с проживанием вне места постоянного проживания (суточные)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</si>
  <si>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</si>
  <si>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</si>
  <si>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</si>
  <si>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Заместитель главы администрации городского округа по социальным вопросам - начальник Управления образования</t>
  </si>
  <si>
    <t>Приобретение ГСМ</t>
  </si>
  <si>
    <t>ст.343</t>
  </si>
  <si>
    <t>Классные журналы</t>
  </si>
  <si>
    <t>Счетчик</t>
  </si>
  <si>
    <t>Огнетушитель</t>
  </si>
  <si>
    <t>4.1.</t>
  </si>
  <si>
    <t>4.2.</t>
  </si>
  <si>
    <t>4.5.</t>
  </si>
  <si>
    <t>4.6.</t>
  </si>
  <si>
    <t>4.7.</t>
  </si>
  <si>
    <t>4.8.</t>
  </si>
  <si>
    <t>4.9.</t>
  </si>
  <si>
    <t>5</t>
  </si>
  <si>
    <t>Куркина Т.В. 8(35346)4-26-53</t>
  </si>
  <si>
    <t>Компенсация затрат</t>
  </si>
  <si>
    <t>Курсы повышения квалификации</t>
  </si>
  <si>
    <t>Услуги по обучению ДПППК</t>
  </si>
  <si>
    <t>ст.310</t>
  </si>
  <si>
    <t>Мебель</t>
  </si>
  <si>
    <t>Лазерные принтеры</t>
  </si>
  <si>
    <t>Програмно-аппаратный комплекс</t>
  </si>
  <si>
    <t>Директор</t>
  </si>
  <si>
    <t>"____" ______________ 2024г.</t>
  </si>
  <si>
    <t>"___" ____________ 2024 г.</t>
  </si>
  <si>
    <t>на 2024г. (текущий финансовый год)</t>
  </si>
  <si>
    <t>на 2025 г. (первый год планового периода)</t>
  </si>
  <si>
    <t>на 2026 г. (второй год планового периода)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</si>
  <si>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автономного общеобразовательного учреждения "Средняя общеобразовательная школа № 3" имени Героя Советского Союза  И.А.Акимова города Сорочинска Оренбургской области на 2024год</t>
  </si>
  <si>
    <t>Приобретение манометров</t>
  </si>
  <si>
    <t>Проведение расчетов профессиональных рисков</t>
  </si>
  <si>
    <t>Прочие расходы</t>
  </si>
  <si>
    <t>Обучение</t>
  </si>
  <si>
    <t>Приобретение основных средств</t>
  </si>
  <si>
    <t>от "01" января  2024 г.</t>
  </si>
  <si>
    <t>«___»   ______________ 2024 г.</t>
  </si>
  <si>
    <t>План финансово-хозяйственной деятельности на 2024 г.</t>
  </si>
  <si>
    <t>(на 2024 г. и плановый период 2025 и 2026 годов)</t>
  </si>
  <si>
    <t xml:space="preserve">Приобретение прочих объектов, относящихся к материальным запасам </t>
  </si>
  <si>
    <t>Приобретение мягкого инвентаря</t>
  </si>
  <si>
    <t>ст.345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</si>
</sst>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5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0" xfId="0" applyNumberFormat="1"/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5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1" fillId="2" borderId="1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2" borderId="1" xfId="0" applyFont="1" applyFill="1" applyBorder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2" borderId="0" xfId="0" applyNumberFormat="1" applyFill="1"/>
    <xf numFmtId="2" fontId="0" fillId="0" borderId="0" xfId="0" applyNumberFormat="1" applyAlignment="1">
      <alignment horizontal="center"/>
    </xf>
    <xf numFmtId="0" fontId="17" fillId="0" borderId="1" xfId="0" applyFont="1" applyBorder="1"/>
    <xf numFmtId="2" fontId="0" fillId="2" borderId="0" xfId="0" applyNumberFormat="1" applyFill="1" applyAlignment="1">
      <alignment horizontal="center"/>
    </xf>
    <xf numFmtId="0" fontId="17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2" fontId="11" fillId="2" borderId="1" xfId="4" applyNumberFormat="1" applyFont="1" applyFill="1" applyBorder="1" applyAlignment="1" applyProtection="1">
      <alignment horizontal="center" vertical="center"/>
      <protection hidden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65" fontId="17" fillId="2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5" fontId="17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0" fontId="1" fillId="2" borderId="0" xfId="0" applyFont="1" applyFill="1" applyAlignment="1">
      <alignment wrapText="1"/>
    </xf>
    <xf numFmtId="0" fontId="1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2" fontId="17" fillId="2" borderId="0" xfId="0" applyNumberFormat="1" applyFont="1" applyFill="1" applyAlignment="1">
      <alignment horizontal="right"/>
    </xf>
    <xf numFmtId="2" fontId="17" fillId="2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5" fontId="1" fillId="0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2" fontId="17" fillId="2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/>
    <xf numFmtId="0" fontId="17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2" fontId="11" fillId="2" borderId="1" xfId="5" applyNumberFormat="1" applyFont="1" applyFill="1" applyBorder="1" applyAlignment="1" applyProtection="1">
      <alignment horizontal="center" vertical="center"/>
      <protection hidden="1"/>
    </xf>
    <xf numFmtId="2" fontId="11" fillId="2" borderId="1" xfId="6" applyNumberFormat="1" applyFont="1" applyFill="1" applyBorder="1" applyAlignment="1" applyProtection="1">
      <alignment horizontal="center" vertical="center"/>
      <protection hidden="1"/>
    </xf>
    <xf numFmtId="2" fontId="11" fillId="2" borderId="1" xfId="7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1" xfId="0" applyFill="1" applyBorder="1"/>
    <xf numFmtId="0" fontId="19" fillId="0" borderId="1" xfId="0" applyFont="1" applyFill="1" applyBorder="1"/>
    <xf numFmtId="0" fontId="0" fillId="0" borderId="0" xfId="0" applyFill="1" applyBorder="1"/>
    <xf numFmtId="2" fontId="0" fillId="0" borderId="0" xfId="0" applyNumberForma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0" fillId="0" borderId="0" xfId="0" applyNumberFormat="1" applyFill="1"/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0" xfId="0" applyFont="1" applyFill="1"/>
    <xf numFmtId="0" fontId="16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165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11" fillId="0" borderId="3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3" xfId="2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8">
    <cellStyle name="Гиперссылка" xfId="2" builtinId="8"/>
    <cellStyle name="Обычный" xfId="0" builtinId="0"/>
    <cellStyle name="Обычный 2" xfId="1"/>
    <cellStyle name="Обычный 2 2" xfId="4"/>
    <cellStyle name="Обычный 2 5" xfId="5"/>
    <cellStyle name="Обычный 2 6" xfId="6"/>
    <cellStyle name="Обычный 2 7" xfId="7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view="pageBreakPreview" zoomScale="80" zoomScaleSheetLayoutView="80" workbookViewId="0">
      <selection activeCell="N7" sqref="N7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53" t="s">
        <v>0</v>
      </c>
      <c r="I1" s="253"/>
    </row>
    <row r="2" spans="1:9" ht="15.75">
      <c r="A2" s="2"/>
      <c r="B2" s="2"/>
      <c r="C2" s="2"/>
      <c r="D2" s="2"/>
      <c r="E2" s="2"/>
      <c r="F2" s="2"/>
      <c r="G2" s="258" t="s">
        <v>424</v>
      </c>
      <c r="H2" s="258"/>
      <c r="I2" s="258"/>
    </row>
    <row r="3" spans="1:9" ht="12.75" customHeight="1">
      <c r="A3" s="2"/>
      <c r="B3" s="2"/>
      <c r="C3" s="2"/>
      <c r="D3" s="2"/>
      <c r="E3" s="2"/>
      <c r="F3" s="2"/>
      <c r="G3" s="259" t="s">
        <v>38</v>
      </c>
      <c r="H3" s="259"/>
      <c r="I3" s="259"/>
    </row>
    <row r="4" spans="1:9" ht="81.75" customHeight="1">
      <c r="A4" s="2"/>
      <c r="B4" s="2"/>
      <c r="C4" s="2"/>
      <c r="D4" s="2"/>
      <c r="E4" s="2"/>
      <c r="F4" s="2"/>
      <c r="G4" s="260" t="s">
        <v>376</v>
      </c>
      <c r="H4" s="260"/>
      <c r="I4" s="260"/>
    </row>
    <row r="5" spans="1:9" ht="15.75">
      <c r="A5" s="2"/>
      <c r="B5" s="2"/>
      <c r="C5" s="2"/>
      <c r="D5" s="2"/>
      <c r="E5" s="2"/>
      <c r="F5" s="2"/>
      <c r="G5" s="261" t="s">
        <v>39</v>
      </c>
      <c r="H5" s="261"/>
      <c r="I5" s="261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394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437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54" t="s">
        <v>438</v>
      </c>
      <c r="C10" s="254"/>
      <c r="D10" s="254"/>
      <c r="E10" s="254"/>
      <c r="F10" s="254"/>
      <c r="G10" s="254"/>
      <c r="H10" s="254"/>
      <c r="I10" s="2"/>
    </row>
    <row r="11" spans="1:9" ht="15.75">
      <c r="A11" s="2"/>
      <c r="B11" s="254" t="s">
        <v>439</v>
      </c>
      <c r="C11" s="254"/>
      <c r="D11" s="254"/>
      <c r="E11" s="254"/>
      <c r="F11" s="254"/>
      <c r="G11" s="254"/>
      <c r="H11" s="254"/>
      <c r="I11" s="25"/>
    </row>
    <row r="12" spans="1:9" ht="15.75">
      <c r="A12" s="2"/>
      <c r="B12" s="2"/>
      <c r="C12" s="2"/>
      <c r="D12" s="2"/>
      <c r="E12" s="4"/>
      <c r="F12" s="2"/>
      <c r="G12" s="2"/>
      <c r="H12" s="2"/>
      <c r="I12" s="25"/>
    </row>
    <row r="13" spans="1:9" ht="15.75">
      <c r="A13" s="2"/>
      <c r="B13" s="255" t="s">
        <v>436</v>
      </c>
      <c r="C13" s="255"/>
      <c r="D13" s="255"/>
      <c r="E13" s="255"/>
      <c r="F13" s="255"/>
      <c r="G13" s="255"/>
      <c r="H13" s="255"/>
      <c r="I13" s="167" t="s">
        <v>17</v>
      </c>
    </row>
    <row r="14" spans="1:9" ht="15.75">
      <c r="A14" s="2"/>
      <c r="B14" s="168"/>
      <c r="C14" s="168"/>
      <c r="D14" s="168"/>
      <c r="E14" s="168"/>
      <c r="F14" s="168"/>
      <c r="G14" s="168"/>
      <c r="H14" s="169" t="s">
        <v>16</v>
      </c>
      <c r="I14" s="170">
        <v>45292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2" t="s">
        <v>41</v>
      </c>
      <c r="I15" s="16"/>
    </row>
    <row r="16" spans="1:9" ht="55.5" customHeight="1">
      <c r="A16" s="256" t="s">
        <v>1</v>
      </c>
      <c r="B16" s="256"/>
      <c r="C16" s="256"/>
      <c r="D16" s="257" t="s">
        <v>237</v>
      </c>
      <c r="E16" s="257"/>
      <c r="F16" s="257"/>
      <c r="G16" s="257"/>
      <c r="H16" s="23" t="s">
        <v>42</v>
      </c>
      <c r="I16" s="8">
        <v>771</v>
      </c>
    </row>
    <row r="17" spans="1:9" ht="22.5" customHeight="1">
      <c r="A17" s="18"/>
      <c r="B17" s="18"/>
      <c r="C17" s="18"/>
      <c r="D17" s="18"/>
      <c r="E17" s="20"/>
      <c r="F17" s="20"/>
      <c r="G17" s="20"/>
      <c r="H17" s="22" t="s">
        <v>41</v>
      </c>
      <c r="I17" s="9"/>
    </row>
    <row r="18" spans="1:9" ht="20.25" customHeight="1">
      <c r="A18" s="18"/>
      <c r="B18" s="18"/>
      <c r="C18" s="18"/>
      <c r="D18" s="18"/>
      <c r="E18" s="19"/>
      <c r="F18" s="20"/>
      <c r="G18" s="20"/>
      <c r="H18" s="21" t="s">
        <v>43</v>
      </c>
      <c r="I18" s="8">
        <v>5617006058</v>
      </c>
    </row>
    <row r="19" spans="1:9" ht="92.25" customHeight="1">
      <c r="A19" s="256" t="s">
        <v>46</v>
      </c>
      <c r="B19" s="256"/>
      <c r="C19" s="256"/>
      <c r="D19" s="257" t="s">
        <v>327</v>
      </c>
      <c r="E19" s="257"/>
      <c r="F19" s="257"/>
      <c r="G19" s="257"/>
      <c r="H19" s="21" t="s">
        <v>44</v>
      </c>
      <c r="I19" s="66">
        <v>561701001</v>
      </c>
    </row>
    <row r="20" spans="1:9" ht="24" customHeight="1">
      <c r="A20" s="256" t="s">
        <v>45</v>
      </c>
      <c r="B20" s="256"/>
      <c r="C20" s="256"/>
      <c r="D20" s="256"/>
      <c r="E20" s="24"/>
      <c r="F20" s="24"/>
      <c r="G20" s="24"/>
      <c r="H20" s="23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2"/>
  <sheetViews>
    <sheetView view="pageBreakPreview" topLeftCell="A28" zoomScale="70" zoomScaleSheetLayoutView="70" workbookViewId="0">
      <selection activeCell="E7" sqref="E7"/>
    </sheetView>
  </sheetViews>
  <sheetFormatPr defaultRowHeight="15"/>
  <cols>
    <col min="1" max="1" width="47.28515625" customWidth="1"/>
    <col min="3" max="3" width="18.140625" customWidth="1"/>
    <col min="4" max="4" width="15.85546875" style="10" customWidth="1"/>
    <col min="5" max="5" width="15.140625" style="10" customWidth="1"/>
    <col min="6" max="6" width="14.7109375" style="10" customWidth="1"/>
    <col min="7" max="7" width="16.7109375" customWidth="1"/>
    <col min="8" max="8" width="12" bestFit="1" customWidth="1"/>
  </cols>
  <sheetData>
    <row r="1" spans="1:8">
      <c r="D1" s="83">
        <f>D11-D29</f>
        <v>-39401.059999987483</v>
      </c>
      <c r="E1" s="83">
        <f>E11-E29</f>
        <v>0</v>
      </c>
      <c r="F1" s="83">
        <f>F11-F29</f>
        <v>0</v>
      </c>
    </row>
    <row r="2" spans="1:8">
      <c r="D2" s="10" t="b">
        <f>D11+D9-D10=D29</f>
        <v>1</v>
      </c>
      <c r="E2" s="10" t="b">
        <f>E11=E29</f>
        <v>1</v>
      </c>
      <c r="F2" s="10" t="b">
        <f>F11=F29</f>
        <v>1</v>
      </c>
    </row>
    <row r="4" spans="1:8" ht="15.75">
      <c r="B4" s="253" t="s">
        <v>328</v>
      </c>
      <c r="C4" s="253"/>
      <c r="D4" s="253"/>
      <c r="E4" s="253"/>
    </row>
    <row r="5" spans="1:8" ht="15.75">
      <c r="A5" s="13"/>
    </row>
    <row r="6" spans="1:8" ht="33.75" customHeight="1">
      <c r="A6" s="262" t="s">
        <v>3</v>
      </c>
      <c r="B6" s="262" t="s">
        <v>5</v>
      </c>
      <c r="C6" s="262" t="s">
        <v>6</v>
      </c>
      <c r="D6" s="262" t="s">
        <v>47</v>
      </c>
      <c r="E6" s="262"/>
      <c r="F6" s="262"/>
      <c r="G6" s="262"/>
      <c r="H6" s="12"/>
    </row>
    <row r="7" spans="1:8" ht="111" customHeight="1">
      <c r="A7" s="262"/>
      <c r="B7" s="262"/>
      <c r="C7" s="262"/>
      <c r="D7" s="15" t="s">
        <v>427</v>
      </c>
      <c r="E7" s="15" t="s">
        <v>428</v>
      </c>
      <c r="F7" s="15" t="s">
        <v>429</v>
      </c>
      <c r="G7" s="45" t="s">
        <v>48</v>
      </c>
      <c r="H7" s="12"/>
    </row>
    <row r="8" spans="1:8" ht="15.75">
      <c r="A8" s="32">
        <v>1</v>
      </c>
      <c r="B8" s="32">
        <v>2</v>
      </c>
      <c r="C8" s="32">
        <v>3</v>
      </c>
      <c r="D8" s="166">
        <v>4</v>
      </c>
      <c r="E8" s="166">
        <v>5</v>
      </c>
      <c r="F8" s="166">
        <v>6</v>
      </c>
      <c r="G8" s="32">
        <v>7</v>
      </c>
      <c r="H8" s="12"/>
    </row>
    <row r="9" spans="1:8" ht="31.5">
      <c r="A9" s="40" t="s">
        <v>49</v>
      </c>
      <c r="B9" s="34" t="s">
        <v>57</v>
      </c>
      <c r="C9" s="28" t="s">
        <v>12</v>
      </c>
      <c r="D9" s="31">
        <v>39401.06</v>
      </c>
      <c r="E9" s="31">
        <v>0</v>
      </c>
      <c r="F9" s="31">
        <v>0</v>
      </c>
      <c r="G9" s="81">
        <v>0</v>
      </c>
      <c r="H9" s="17"/>
    </row>
    <row r="10" spans="1:8" ht="31.5">
      <c r="A10" s="40" t="s">
        <v>50</v>
      </c>
      <c r="B10" s="34" t="s">
        <v>58</v>
      </c>
      <c r="C10" s="28" t="s">
        <v>12</v>
      </c>
      <c r="D10" s="31">
        <f>D9+D11-D29</f>
        <v>0</v>
      </c>
      <c r="E10" s="31">
        <f>E9+E11-E29</f>
        <v>0</v>
      </c>
      <c r="F10" s="31">
        <f>F9+F11-F29</f>
        <v>0</v>
      </c>
      <c r="G10" s="31">
        <f>G9+G11-G29</f>
        <v>0</v>
      </c>
      <c r="H10" s="17"/>
    </row>
    <row r="11" spans="1:8" ht="22.5" customHeight="1">
      <c r="A11" s="46" t="s">
        <v>51</v>
      </c>
      <c r="B11" s="34" t="s">
        <v>59</v>
      </c>
      <c r="C11" s="28"/>
      <c r="D11" s="31">
        <f>D12+D14+D17+D19+D22+D24+D28</f>
        <v>68869631.24000001</v>
      </c>
      <c r="E11" s="31">
        <f>E12+E14+E17+E19+E22+E24+E28</f>
        <v>66316548.75</v>
      </c>
      <c r="F11" s="31">
        <f>F12+F14+F17+F19+F22+F24+F28</f>
        <v>67726866.340000004</v>
      </c>
      <c r="G11" s="31">
        <v>0</v>
      </c>
      <c r="H11" s="7"/>
    </row>
    <row r="12" spans="1:8" ht="36" customHeight="1">
      <c r="A12" s="9" t="s">
        <v>52</v>
      </c>
      <c r="B12" s="34" t="s">
        <v>60</v>
      </c>
      <c r="C12" s="47">
        <v>120</v>
      </c>
      <c r="D12" s="15"/>
      <c r="E12" s="15"/>
      <c r="F12" s="15"/>
      <c r="G12" s="15"/>
      <c r="H12" s="6"/>
    </row>
    <row r="13" spans="1:8" ht="21" customHeight="1">
      <c r="A13" s="9" t="s">
        <v>64</v>
      </c>
      <c r="B13" s="34" t="s">
        <v>61</v>
      </c>
      <c r="C13" s="47"/>
      <c r="D13" s="15"/>
      <c r="E13" s="15"/>
      <c r="F13" s="15"/>
      <c r="G13" s="80"/>
      <c r="H13" s="6"/>
    </row>
    <row r="14" spans="1:8" ht="41.25" customHeight="1">
      <c r="A14" s="9" t="s">
        <v>319</v>
      </c>
      <c r="B14" s="34" t="s">
        <v>62</v>
      </c>
      <c r="C14" s="45">
        <v>130</v>
      </c>
      <c r="D14" s="31">
        <f>D15+D16</f>
        <v>62821631.470000006</v>
      </c>
      <c r="E14" s="31">
        <f t="shared" ref="E14:G14" si="0">E15+E16</f>
        <v>60887018.75</v>
      </c>
      <c r="F14" s="31">
        <f t="shared" si="0"/>
        <v>62354396.75</v>
      </c>
      <c r="G14" s="31">
        <f t="shared" si="0"/>
        <v>0</v>
      </c>
      <c r="H14" s="7"/>
    </row>
    <row r="15" spans="1:8" ht="69.75" customHeight="1">
      <c r="A15" s="9" t="s">
        <v>53</v>
      </c>
      <c r="B15" s="34" t="s">
        <v>63</v>
      </c>
      <c r="C15" s="45">
        <v>130</v>
      </c>
      <c r="D15" s="171">
        <v>60433815.450000003</v>
      </c>
      <c r="E15" s="172">
        <v>58549058.75</v>
      </c>
      <c r="F15" s="173">
        <v>60016436.75</v>
      </c>
      <c r="G15" s="80"/>
      <c r="H15" s="7"/>
    </row>
    <row r="16" spans="1:8" s="53" customFormat="1" ht="57" customHeight="1">
      <c r="A16" s="62" t="s">
        <v>320</v>
      </c>
      <c r="B16" s="63" t="s">
        <v>321</v>
      </c>
      <c r="C16" s="66">
        <v>130</v>
      </c>
      <c r="D16" s="15">
        <v>2387816.02</v>
      </c>
      <c r="E16" s="65">
        <v>2337960</v>
      </c>
      <c r="F16" s="97">
        <v>2337960</v>
      </c>
      <c r="G16" s="66"/>
      <c r="H16" s="67"/>
    </row>
    <row r="17" spans="1:8" ht="36" customHeight="1">
      <c r="A17" s="9" t="s">
        <v>54</v>
      </c>
      <c r="B17" s="34" t="s">
        <v>65</v>
      </c>
      <c r="C17" s="45">
        <v>140</v>
      </c>
      <c r="D17" s="15"/>
      <c r="E17" s="15"/>
      <c r="F17" s="15"/>
      <c r="G17" s="15"/>
      <c r="H17" s="6"/>
    </row>
    <row r="18" spans="1:8" ht="20.25" customHeight="1">
      <c r="A18" s="9" t="s">
        <v>55</v>
      </c>
      <c r="B18" s="34" t="s">
        <v>66</v>
      </c>
      <c r="C18" s="47">
        <v>140</v>
      </c>
      <c r="D18" s="15"/>
      <c r="E18" s="15"/>
      <c r="F18" s="15"/>
      <c r="G18" s="80"/>
      <c r="H18" s="6"/>
    </row>
    <row r="19" spans="1:8" ht="20.25" customHeight="1">
      <c r="A19" s="9" t="s">
        <v>56</v>
      </c>
      <c r="B19" s="34" t="s">
        <v>67</v>
      </c>
      <c r="C19" s="45">
        <v>150</v>
      </c>
      <c r="D19" s="31">
        <f>SUM(D20:D21)</f>
        <v>6047999.7699999996</v>
      </c>
      <c r="E19" s="31">
        <f t="shared" ref="E19:G19" si="1">SUM(E20:E21)</f>
        <v>5429530</v>
      </c>
      <c r="F19" s="31">
        <f t="shared" si="1"/>
        <v>5372469.5899999999</v>
      </c>
      <c r="G19" s="31">
        <f t="shared" si="1"/>
        <v>0</v>
      </c>
      <c r="H19" s="6"/>
    </row>
    <row r="20" spans="1:8" ht="36" customHeight="1">
      <c r="A20" s="62" t="s">
        <v>68</v>
      </c>
      <c r="B20" s="34" t="s">
        <v>69</v>
      </c>
      <c r="C20" s="45">
        <v>150</v>
      </c>
      <c r="D20" s="15">
        <v>6047999.7699999996</v>
      </c>
      <c r="E20" s="65">
        <v>5429530</v>
      </c>
      <c r="F20" s="65">
        <v>5372469.5899999999</v>
      </c>
      <c r="G20" s="80"/>
      <c r="H20" s="6"/>
    </row>
    <row r="21" spans="1:8" ht="36" customHeight="1">
      <c r="A21" s="9" t="s">
        <v>8</v>
      </c>
      <c r="B21" s="34" t="s">
        <v>70</v>
      </c>
      <c r="C21" s="45">
        <v>150</v>
      </c>
      <c r="D21" s="15"/>
      <c r="E21" s="15"/>
      <c r="F21" s="15"/>
      <c r="G21" s="80"/>
      <c r="H21" s="6"/>
    </row>
    <row r="22" spans="1:8" ht="18" customHeight="1">
      <c r="A22" s="9" t="s">
        <v>71</v>
      </c>
      <c r="B22" s="34" t="s">
        <v>72</v>
      </c>
      <c r="C22" s="45">
        <v>180</v>
      </c>
      <c r="D22" s="15"/>
      <c r="E22" s="15"/>
      <c r="F22" s="15"/>
      <c r="G22" s="15"/>
      <c r="H22" s="7"/>
    </row>
    <row r="23" spans="1:8" ht="18.75" customHeight="1">
      <c r="A23" s="9" t="s">
        <v>64</v>
      </c>
      <c r="B23" s="34" t="s">
        <v>73</v>
      </c>
      <c r="C23" s="47">
        <v>180</v>
      </c>
      <c r="D23" s="15"/>
      <c r="E23" s="15"/>
      <c r="F23" s="15"/>
      <c r="G23" s="80"/>
      <c r="H23" s="6"/>
    </row>
    <row r="24" spans="1:8" ht="19.5" customHeight="1">
      <c r="A24" s="9" t="s">
        <v>74</v>
      </c>
      <c r="B24" s="34" t="s">
        <v>75</v>
      </c>
      <c r="C24" s="45">
        <v>400</v>
      </c>
      <c r="D24" s="15"/>
      <c r="E24" s="15"/>
      <c r="F24" s="15"/>
      <c r="G24" s="15"/>
      <c r="H24" s="6"/>
    </row>
    <row r="25" spans="1:8" ht="18.75" customHeight="1">
      <c r="A25" s="9" t="s">
        <v>64</v>
      </c>
      <c r="B25" s="34" t="s">
        <v>76</v>
      </c>
      <c r="C25" s="47">
        <v>400</v>
      </c>
      <c r="D25" s="15"/>
      <c r="E25" s="15"/>
      <c r="F25" s="15"/>
      <c r="G25" s="80"/>
      <c r="H25" s="6"/>
    </row>
    <row r="26" spans="1:8" ht="18.75" customHeight="1">
      <c r="A26" s="9"/>
      <c r="B26" s="34" t="s">
        <v>77</v>
      </c>
      <c r="C26" s="47">
        <v>400</v>
      </c>
      <c r="D26" s="15"/>
      <c r="E26" s="15"/>
      <c r="F26" s="15"/>
      <c r="G26" s="80"/>
      <c r="H26" s="6"/>
    </row>
    <row r="27" spans="1:8" ht="18.75" customHeight="1">
      <c r="A27" s="9" t="s">
        <v>78</v>
      </c>
      <c r="B27" s="34" t="s">
        <v>79</v>
      </c>
      <c r="C27" s="47" t="s">
        <v>12</v>
      </c>
      <c r="D27" s="15"/>
      <c r="E27" s="15"/>
      <c r="F27" s="15"/>
      <c r="G27" s="15" t="str">
        <f t="shared" ref="G27" si="2">G28</f>
        <v>х</v>
      </c>
      <c r="H27" s="6"/>
    </row>
    <row r="28" spans="1:8" ht="66.75" customHeight="1">
      <c r="A28" s="9" t="s">
        <v>80</v>
      </c>
      <c r="B28" s="34" t="s">
        <v>81</v>
      </c>
      <c r="C28" s="47">
        <v>510</v>
      </c>
      <c r="D28" s="15">
        <v>0</v>
      </c>
      <c r="E28" s="15"/>
      <c r="F28" s="15"/>
      <c r="G28" s="80" t="s">
        <v>12</v>
      </c>
      <c r="H28" s="6"/>
    </row>
    <row r="29" spans="1:8" s="11" customFormat="1" ht="20.25" customHeight="1">
      <c r="A29" s="46" t="s">
        <v>82</v>
      </c>
      <c r="B29" s="34" t="s">
        <v>83</v>
      </c>
      <c r="C29" s="28" t="s">
        <v>12</v>
      </c>
      <c r="D29" s="31">
        <f>D31+D33+D34+D35+D40+D46+D57</f>
        <v>68909032.299999997</v>
      </c>
      <c r="E29" s="31">
        <f t="shared" ref="E29:F29" si="3">E31+E33+E34+E35+E40+E46+E57</f>
        <v>66316548.75</v>
      </c>
      <c r="F29" s="31">
        <f t="shared" si="3"/>
        <v>67726866.340000004</v>
      </c>
      <c r="G29" s="31"/>
      <c r="H29" s="14"/>
    </row>
    <row r="30" spans="1:8" ht="33" customHeight="1">
      <c r="A30" s="9" t="s">
        <v>84</v>
      </c>
      <c r="B30" s="34" t="s">
        <v>85</v>
      </c>
      <c r="C30" s="45" t="s">
        <v>12</v>
      </c>
      <c r="D30" s="15">
        <f>D31+D33+D34+D35</f>
        <v>39605731.780000001</v>
      </c>
      <c r="E30" s="15">
        <f t="shared" ref="E30:F30" si="4">E31+E33+E34+E35</f>
        <v>39605731.780000001</v>
      </c>
      <c r="F30" s="15">
        <f t="shared" si="4"/>
        <v>39605731.780000001</v>
      </c>
      <c r="G30" s="80" t="s">
        <v>12</v>
      </c>
      <c r="H30" s="7"/>
    </row>
    <row r="31" spans="1:8" ht="33" customHeight="1">
      <c r="A31" s="9" t="s">
        <v>86</v>
      </c>
      <c r="B31" s="34" t="s">
        <v>87</v>
      </c>
      <c r="C31" s="45">
        <v>111</v>
      </c>
      <c r="D31" s="97">
        <v>30419192.390000001</v>
      </c>
      <c r="E31" s="97">
        <v>30419192.390000001</v>
      </c>
      <c r="F31" s="97">
        <v>30419192.390000001</v>
      </c>
      <c r="G31" s="80" t="s">
        <v>12</v>
      </c>
      <c r="H31" s="7"/>
    </row>
    <row r="32" spans="1:8" ht="77.45" customHeight="1">
      <c r="A32" s="9" t="s">
        <v>384</v>
      </c>
      <c r="B32" s="34"/>
      <c r="C32" s="178">
        <v>111</v>
      </c>
      <c r="D32" s="97">
        <v>210197.32</v>
      </c>
      <c r="E32" s="97">
        <v>210197.32</v>
      </c>
      <c r="F32" s="97">
        <v>210197.32</v>
      </c>
      <c r="G32" s="178"/>
      <c r="H32" s="7"/>
    </row>
    <row r="33" spans="1:9" ht="38.25" customHeight="1">
      <c r="A33" s="38" t="s">
        <v>88</v>
      </c>
      <c r="B33" s="34" t="s">
        <v>385</v>
      </c>
      <c r="C33" s="45">
        <v>112</v>
      </c>
      <c r="D33" s="15">
        <v>0</v>
      </c>
      <c r="E33" s="15">
        <v>0</v>
      </c>
      <c r="F33" s="15">
        <v>0</v>
      </c>
      <c r="G33" s="80" t="s">
        <v>12</v>
      </c>
      <c r="H33" s="7"/>
    </row>
    <row r="34" spans="1:9" ht="47.25">
      <c r="A34" s="38" t="s">
        <v>89</v>
      </c>
      <c r="B34" s="37">
        <v>2130</v>
      </c>
      <c r="C34" s="39">
        <v>113</v>
      </c>
      <c r="D34" s="42">
        <v>0</v>
      </c>
      <c r="E34" s="42">
        <v>0</v>
      </c>
      <c r="F34" s="42">
        <v>0</v>
      </c>
      <c r="G34" s="80" t="s">
        <v>12</v>
      </c>
    </row>
    <row r="35" spans="1:9" ht="68.25" customHeight="1">
      <c r="A35" s="38" t="s">
        <v>90</v>
      </c>
      <c r="B35" s="34" t="s">
        <v>386</v>
      </c>
      <c r="C35" s="45" t="s">
        <v>13</v>
      </c>
      <c r="D35" s="31">
        <f t="shared" ref="D35:F35" si="5">SUM(D36:D37)</f>
        <v>9186539.3900000006</v>
      </c>
      <c r="E35" s="31">
        <f t="shared" si="5"/>
        <v>9186539.3900000006</v>
      </c>
      <c r="F35" s="31">
        <f t="shared" si="5"/>
        <v>9186539.3900000006</v>
      </c>
      <c r="G35" s="80" t="s">
        <v>12</v>
      </c>
      <c r="H35" s="7"/>
    </row>
    <row r="36" spans="1:9" s="53" customFormat="1" ht="33" customHeight="1">
      <c r="A36" s="62" t="s">
        <v>91</v>
      </c>
      <c r="B36" s="63" t="s">
        <v>387</v>
      </c>
      <c r="C36" s="66">
        <v>119</v>
      </c>
      <c r="D36" s="15">
        <v>9186539.3900000006</v>
      </c>
      <c r="E36" s="97">
        <v>9186539.3900000006</v>
      </c>
      <c r="F36" s="97">
        <v>9186539.3900000006</v>
      </c>
      <c r="G36" s="66" t="s">
        <v>12</v>
      </c>
      <c r="H36" s="67"/>
    </row>
    <row r="37" spans="1:9" s="53" customFormat="1" ht="16.5" customHeight="1">
      <c r="A37" s="62" t="s">
        <v>92</v>
      </c>
      <c r="B37" s="63" t="s">
        <v>388</v>
      </c>
      <c r="C37" s="66">
        <v>119</v>
      </c>
      <c r="D37" s="65"/>
      <c r="E37" s="65"/>
      <c r="F37" s="65"/>
      <c r="G37" s="66"/>
      <c r="H37" s="67"/>
    </row>
    <row r="38" spans="1:9" s="53" customFormat="1" ht="82.9" customHeight="1">
      <c r="A38" s="62" t="s">
        <v>384</v>
      </c>
      <c r="B38" s="63"/>
      <c r="C38" s="179">
        <v>119</v>
      </c>
      <c r="D38" s="65">
        <v>63479.6</v>
      </c>
      <c r="E38" s="65">
        <v>63479.6</v>
      </c>
      <c r="F38" s="65">
        <v>63479.6</v>
      </c>
      <c r="G38" s="179"/>
      <c r="H38" s="67"/>
    </row>
    <row r="39" spans="1:9" s="53" customFormat="1" ht="54" customHeight="1">
      <c r="A39" s="62" t="s">
        <v>362</v>
      </c>
      <c r="B39" s="63" t="s">
        <v>389</v>
      </c>
      <c r="C39" s="162">
        <v>139</v>
      </c>
      <c r="D39" s="133"/>
      <c r="E39" s="133"/>
      <c r="F39" s="133"/>
      <c r="G39" s="162" t="s">
        <v>12</v>
      </c>
      <c r="H39" s="67"/>
    </row>
    <row r="40" spans="1:9" ht="18.75" customHeight="1">
      <c r="A40" s="9" t="s">
        <v>10</v>
      </c>
      <c r="B40" s="34" t="s">
        <v>93</v>
      </c>
      <c r="C40" s="45">
        <v>300</v>
      </c>
      <c r="D40" s="15"/>
      <c r="E40" s="15"/>
      <c r="F40" s="15"/>
      <c r="G40" s="80" t="s">
        <v>12</v>
      </c>
      <c r="H40" s="7"/>
    </row>
    <row r="41" spans="1:9" s="53" customFormat="1" ht="50.25" customHeight="1">
      <c r="A41" s="62" t="s">
        <v>94</v>
      </c>
      <c r="B41" s="63" t="s">
        <v>95</v>
      </c>
      <c r="C41" s="64" t="s">
        <v>96</v>
      </c>
      <c r="D41" s="65"/>
      <c r="E41" s="65"/>
      <c r="F41" s="65"/>
      <c r="G41" s="66" t="s">
        <v>12</v>
      </c>
      <c r="H41" s="67"/>
    </row>
    <row r="42" spans="1:9" s="53" customFormat="1" ht="68.25" customHeight="1">
      <c r="A42" s="62" t="s">
        <v>97</v>
      </c>
      <c r="B42" s="63" t="s">
        <v>98</v>
      </c>
      <c r="C42" s="64" t="s">
        <v>99</v>
      </c>
      <c r="D42" s="65"/>
      <c r="E42" s="65"/>
      <c r="F42" s="65"/>
      <c r="G42" s="66" t="s">
        <v>12</v>
      </c>
      <c r="H42" s="67"/>
    </row>
    <row r="43" spans="1:9" s="53" customFormat="1" ht="20.25" customHeight="1">
      <c r="A43" s="62" t="s">
        <v>262</v>
      </c>
      <c r="B43" s="63" t="s">
        <v>100</v>
      </c>
      <c r="C43" s="64" t="s">
        <v>101</v>
      </c>
      <c r="D43" s="65"/>
      <c r="E43" s="65"/>
      <c r="F43" s="65"/>
      <c r="G43" s="66" t="s">
        <v>12</v>
      </c>
      <c r="H43" s="67"/>
    </row>
    <row r="44" spans="1:9" s="53" customFormat="1" ht="84.75" customHeight="1">
      <c r="A44" s="62" t="s">
        <v>102</v>
      </c>
      <c r="B44" s="63" t="s">
        <v>103</v>
      </c>
      <c r="C44" s="66">
        <v>350</v>
      </c>
      <c r="D44" s="65"/>
      <c r="E44" s="65"/>
      <c r="F44" s="65"/>
      <c r="G44" s="66" t="s">
        <v>12</v>
      </c>
      <c r="H44" s="68"/>
      <c r="I44" s="69"/>
    </row>
    <row r="45" spans="1:9" s="53" customFormat="1" ht="21" customHeight="1">
      <c r="A45" s="62" t="s">
        <v>104</v>
      </c>
      <c r="B45" s="63" t="s">
        <v>105</v>
      </c>
      <c r="C45" s="66">
        <v>360</v>
      </c>
      <c r="D45" s="65"/>
      <c r="E45" s="65"/>
      <c r="F45" s="65"/>
      <c r="G45" s="66" t="s">
        <v>12</v>
      </c>
      <c r="H45" s="68"/>
      <c r="I45" s="69"/>
    </row>
    <row r="46" spans="1:9" ht="21" customHeight="1">
      <c r="A46" s="38" t="s">
        <v>106</v>
      </c>
      <c r="B46" s="34" t="s">
        <v>107</v>
      </c>
      <c r="C46" s="45">
        <v>850</v>
      </c>
      <c r="D46" s="31">
        <f>SUM(D47:D49)</f>
        <v>279873</v>
      </c>
      <c r="E46" s="31">
        <f t="shared" ref="E46:F46" si="6">SUM(E47:E49)</f>
        <v>0</v>
      </c>
      <c r="F46" s="31">
        <f t="shared" si="6"/>
        <v>0</v>
      </c>
      <c r="G46" s="80" t="s">
        <v>12</v>
      </c>
      <c r="H46" s="7"/>
    </row>
    <row r="47" spans="1:9" ht="47.25" customHeight="1">
      <c r="A47" s="9" t="s">
        <v>263</v>
      </c>
      <c r="B47" s="34" t="s">
        <v>108</v>
      </c>
      <c r="C47" s="45">
        <v>851</v>
      </c>
      <c r="D47" s="15">
        <v>279873</v>
      </c>
      <c r="E47" s="15">
        <v>0</v>
      </c>
      <c r="F47" s="15">
        <v>0</v>
      </c>
      <c r="G47" s="80" t="s">
        <v>12</v>
      </c>
      <c r="H47" s="7"/>
    </row>
    <row r="48" spans="1:9" ht="51.75" customHeight="1">
      <c r="A48" s="9" t="s">
        <v>109</v>
      </c>
      <c r="B48" s="34" t="s">
        <v>110</v>
      </c>
      <c r="C48" s="45">
        <v>852</v>
      </c>
      <c r="D48" s="15"/>
      <c r="E48" s="15"/>
      <c r="F48" s="15"/>
      <c r="G48" s="80" t="s">
        <v>12</v>
      </c>
      <c r="H48" s="7"/>
    </row>
    <row r="49" spans="1:8" ht="34.5" customHeight="1">
      <c r="A49" s="9" t="s">
        <v>111</v>
      </c>
      <c r="B49" s="34" t="s">
        <v>112</v>
      </c>
      <c r="C49" s="45">
        <v>853</v>
      </c>
      <c r="D49" s="15">
        <v>0</v>
      </c>
      <c r="E49" s="15"/>
      <c r="F49" s="15"/>
      <c r="G49" s="80" t="s">
        <v>12</v>
      </c>
      <c r="H49" s="7"/>
    </row>
    <row r="50" spans="1:8" s="53" customFormat="1" ht="31.5">
      <c r="A50" s="62" t="s">
        <v>113</v>
      </c>
      <c r="B50" s="63" t="s">
        <v>114</v>
      </c>
      <c r="C50" s="120" t="s">
        <v>12</v>
      </c>
      <c r="D50" s="65"/>
      <c r="E50" s="65"/>
      <c r="F50" s="65"/>
      <c r="G50" s="66" t="s">
        <v>12</v>
      </c>
      <c r="H50" s="67"/>
    </row>
    <row r="51" spans="1:8" s="53" customFormat="1" ht="47.25" customHeight="1">
      <c r="A51" s="62" t="s">
        <v>364</v>
      </c>
      <c r="B51" s="63" t="s">
        <v>115</v>
      </c>
      <c r="C51" s="120">
        <v>613</v>
      </c>
      <c r="D51" s="65"/>
      <c r="E51" s="65"/>
      <c r="F51" s="65"/>
      <c r="G51" s="66" t="s">
        <v>12</v>
      </c>
      <c r="H51" s="67"/>
    </row>
    <row r="52" spans="1:8" s="53" customFormat="1" ht="47.25" customHeight="1">
      <c r="A52" s="62" t="s">
        <v>365</v>
      </c>
      <c r="B52" s="63" t="s">
        <v>337</v>
      </c>
      <c r="C52" s="120">
        <v>623</v>
      </c>
      <c r="D52" s="65"/>
      <c r="E52" s="65"/>
      <c r="F52" s="65"/>
      <c r="G52" s="120"/>
      <c r="H52" s="67"/>
    </row>
    <row r="53" spans="1:8" s="53" customFormat="1" ht="47.25" customHeight="1">
      <c r="A53" s="70" t="s">
        <v>366</v>
      </c>
      <c r="B53" s="63" t="s">
        <v>367</v>
      </c>
      <c r="C53" s="165">
        <v>634</v>
      </c>
      <c r="D53" s="65"/>
      <c r="E53" s="65"/>
      <c r="F53" s="65"/>
      <c r="G53" s="165"/>
      <c r="H53" s="67"/>
    </row>
    <row r="54" spans="1:8" s="53" customFormat="1" ht="47.25" customHeight="1">
      <c r="A54" s="70" t="s">
        <v>368</v>
      </c>
      <c r="B54" s="63" t="s">
        <v>369</v>
      </c>
      <c r="C54" s="165">
        <v>810</v>
      </c>
      <c r="D54" s="65"/>
      <c r="E54" s="65"/>
      <c r="F54" s="65"/>
      <c r="G54" s="165" t="s">
        <v>12</v>
      </c>
      <c r="H54" s="67"/>
    </row>
    <row r="55" spans="1:8" ht="35.25" customHeight="1">
      <c r="A55" s="9" t="s">
        <v>116</v>
      </c>
      <c r="B55" s="34" t="s">
        <v>117</v>
      </c>
      <c r="C55" s="45" t="s">
        <v>12</v>
      </c>
      <c r="D55" s="15"/>
      <c r="E55" s="15"/>
      <c r="F55" s="15"/>
      <c r="G55" s="80" t="s">
        <v>12</v>
      </c>
      <c r="H55" s="7"/>
    </row>
    <row r="56" spans="1:8" ht="68.25" customHeight="1">
      <c r="A56" s="9" t="s">
        <v>118</v>
      </c>
      <c r="B56" s="34" t="s">
        <v>119</v>
      </c>
      <c r="C56" s="45">
        <v>831</v>
      </c>
      <c r="D56" s="15"/>
      <c r="E56" s="15"/>
      <c r="F56" s="15"/>
      <c r="G56" s="15" t="s">
        <v>12</v>
      </c>
      <c r="H56" s="7"/>
    </row>
    <row r="57" spans="1:8" ht="33" customHeight="1">
      <c r="A57" s="38" t="s">
        <v>120</v>
      </c>
      <c r="B57" s="34" t="s">
        <v>121</v>
      </c>
      <c r="C57" s="45" t="s">
        <v>12</v>
      </c>
      <c r="D57" s="31">
        <f>SUM(D58:D61)</f>
        <v>29023427.52</v>
      </c>
      <c r="E57" s="31">
        <f>SUM(E58:E61)</f>
        <v>26710816.969999999</v>
      </c>
      <c r="F57" s="31">
        <f>SUM(F58:F61)</f>
        <v>28121134.559999999</v>
      </c>
      <c r="G57" s="31">
        <f>SUM(G58:G61)</f>
        <v>0</v>
      </c>
      <c r="H57" s="7"/>
    </row>
    <row r="58" spans="1:8" s="53" customFormat="1" ht="47.25">
      <c r="A58" s="70" t="s">
        <v>122</v>
      </c>
      <c r="B58" s="71">
        <v>2610</v>
      </c>
      <c r="C58" s="72">
        <v>241</v>
      </c>
      <c r="D58" s="88"/>
      <c r="E58" s="88"/>
      <c r="F58" s="88"/>
      <c r="G58" s="72"/>
    </row>
    <row r="59" spans="1:8" ht="38.25" customHeight="1">
      <c r="A59" s="38" t="s">
        <v>123</v>
      </c>
      <c r="B59" s="37">
        <v>2630</v>
      </c>
      <c r="C59" s="39">
        <v>243</v>
      </c>
      <c r="D59" s="42">
        <v>0</v>
      </c>
      <c r="E59" s="42"/>
      <c r="F59" s="42"/>
      <c r="G59" s="39"/>
    </row>
    <row r="60" spans="1:8" ht="22.5" customHeight="1">
      <c r="A60" s="38" t="s">
        <v>124</v>
      </c>
      <c r="B60" s="37">
        <v>2640</v>
      </c>
      <c r="C60" s="39">
        <v>244</v>
      </c>
      <c r="D60" s="97">
        <v>26956321.82</v>
      </c>
      <c r="E60" s="97">
        <v>25950524.969999999</v>
      </c>
      <c r="F60" s="97">
        <v>25893464.559999999</v>
      </c>
      <c r="G60" s="87">
        <v>0</v>
      </c>
    </row>
    <row r="61" spans="1:8" ht="18.75" customHeight="1">
      <c r="A61" s="9" t="s">
        <v>360</v>
      </c>
      <c r="B61" s="34" t="s">
        <v>361</v>
      </c>
      <c r="C61" s="47">
        <v>247</v>
      </c>
      <c r="D61" s="15">
        <v>2067105.7</v>
      </c>
      <c r="E61" s="15">
        <v>760292</v>
      </c>
      <c r="F61" s="15">
        <v>2227670</v>
      </c>
      <c r="G61" s="80"/>
      <c r="H61" s="6"/>
    </row>
    <row r="62" spans="1:8" ht="38.25" customHeight="1">
      <c r="A62" s="38" t="s">
        <v>125</v>
      </c>
      <c r="B62" s="37">
        <v>2660</v>
      </c>
      <c r="C62" s="39">
        <v>400</v>
      </c>
      <c r="D62" s="42"/>
      <c r="E62" s="42"/>
      <c r="F62" s="42"/>
      <c r="G62" s="42"/>
    </row>
    <row r="63" spans="1:8" ht="49.5" customHeight="1">
      <c r="A63" s="38" t="s">
        <v>126</v>
      </c>
      <c r="B63" s="37">
        <v>2661</v>
      </c>
      <c r="C63" s="39">
        <v>406</v>
      </c>
      <c r="D63" s="42"/>
      <c r="E63" s="42"/>
      <c r="F63" s="42"/>
      <c r="G63" s="39"/>
    </row>
    <row r="64" spans="1:8" ht="49.5" customHeight="1">
      <c r="A64" s="38" t="s">
        <v>127</v>
      </c>
      <c r="B64" s="37">
        <v>2662</v>
      </c>
      <c r="C64" s="39">
        <v>407</v>
      </c>
      <c r="D64" s="42"/>
      <c r="E64" s="42"/>
      <c r="F64" s="42"/>
      <c r="G64" s="39"/>
    </row>
    <row r="65" spans="1:8" ht="19.5" customHeight="1">
      <c r="A65" s="40" t="s">
        <v>128</v>
      </c>
      <c r="B65" s="37">
        <v>3000</v>
      </c>
      <c r="C65" s="41" t="s">
        <v>12</v>
      </c>
      <c r="D65" s="43"/>
      <c r="E65" s="43"/>
      <c r="F65" s="43"/>
      <c r="G65" s="41" t="s">
        <v>12</v>
      </c>
    </row>
    <row r="66" spans="1:8" ht="31.5">
      <c r="A66" s="38" t="s">
        <v>129</v>
      </c>
      <c r="B66" s="37">
        <v>3010</v>
      </c>
      <c r="C66" s="39"/>
      <c r="D66" s="42"/>
      <c r="E66" s="42"/>
      <c r="F66" s="42"/>
      <c r="G66" s="39" t="s">
        <v>12</v>
      </c>
    </row>
    <row r="67" spans="1:8" ht="20.25" customHeight="1">
      <c r="A67" s="38" t="s">
        <v>130</v>
      </c>
      <c r="B67" s="37">
        <v>3020</v>
      </c>
      <c r="C67" s="39"/>
      <c r="D67" s="42"/>
      <c r="E67" s="42"/>
      <c r="F67" s="42"/>
      <c r="G67" s="39" t="s">
        <v>12</v>
      </c>
    </row>
    <row r="68" spans="1:8" ht="17.25" customHeight="1">
      <c r="A68" s="38" t="s">
        <v>131</v>
      </c>
      <c r="B68" s="37">
        <v>3030</v>
      </c>
      <c r="C68" s="39"/>
      <c r="D68" s="42"/>
      <c r="E68" s="42"/>
      <c r="F68" s="42"/>
      <c r="G68" s="39" t="s">
        <v>12</v>
      </c>
    </row>
    <row r="69" spans="1:8" ht="19.5" customHeight="1">
      <c r="A69" s="40" t="s">
        <v>132</v>
      </c>
      <c r="B69" s="37">
        <v>4000</v>
      </c>
      <c r="C69" s="41" t="s">
        <v>12</v>
      </c>
      <c r="D69" s="43"/>
      <c r="E69" s="43"/>
      <c r="F69" s="43"/>
      <c r="G69" s="41" t="s">
        <v>12</v>
      </c>
    </row>
    <row r="70" spans="1:8" ht="35.25" customHeight="1">
      <c r="A70" s="9" t="s">
        <v>133</v>
      </c>
      <c r="B70" s="34" t="s">
        <v>134</v>
      </c>
      <c r="C70" s="45">
        <v>610</v>
      </c>
      <c r="D70" s="15"/>
      <c r="E70" s="15"/>
      <c r="F70" s="15"/>
      <c r="G70" s="80" t="s">
        <v>12</v>
      </c>
      <c r="H70" s="7"/>
    </row>
    <row r="71" spans="1:8" ht="15.75">
      <c r="A71" s="73"/>
      <c r="B71" s="36"/>
      <c r="C71" s="36"/>
      <c r="D71" s="89"/>
      <c r="E71" s="89"/>
      <c r="F71" s="89"/>
      <c r="G71" s="84"/>
    </row>
    <row r="72" spans="1:8" ht="15.7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3"/>
  <sheetViews>
    <sheetView tabSelected="1" view="pageBreakPreview" topLeftCell="A13" zoomScale="55" zoomScaleNormal="70" zoomScaleSheetLayoutView="55" workbookViewId="0">
      <selection activeCell="M26" sqref="M26"/>
    </sheetView>
  </sheetViews>
  <sheetFormatPr defaultRowHeight="15"/>
  <cols>
    <col min="1" max="1" width="6.5703125" customWidth="1"/>
    <col min="2" max="2" width="48.28515625" customWidth="1"/>
    <col min="4" max="4" width="9" customWidth="1"/>
    <col min="5" max="5" width="13.140625" customWidth="1"/>
    <col min="6" max="6" width="15.85546875" customWidth="1"/>
    <col min="7" max="7" width="15.140625" customWidth="1"/>
    <col min="8" max="8" width="14.85546875" customWidth="1"/>
    <col min="9" max="9" width="0.7109375" hidden="1" customWidth="1"/>
    <col min="10" max="10" width="12" hidden="1" customWidth="1"/>
  </cols>
  <sheetData>
    <row r="1" spans="1:11">
      <c r="F1" t="b">
        <f>F8=F16+F19+F27+F11</f>
        <v>1</v>
      </c>
      <c r="G1" t="b">
        <f t="shared" ref="G1:H1" si="0">G15=G16+G19+G27</f>
        <v>1</v>
      </c>
      <c r="H1" t="b">
        <f t="shared" si="0"/>
        <v>1</v>
      </c>
    </row>
    <row r="3" spans="1:11" ht="15.75">
      <c r="B3" s="253" t="s">
        <v>135</v>
      </c>
      <c r="C3" s="253"/>
      <c r="D3" s="253"/>
      <c r="E3" s="253"/>
      <c r="F3" s="253"/>
      <c r="G3" s="253"/>
      <c r="H3" s="253"/>
      <c r="I3" s="253"/>
    </row>
    <row r="4" spans="1:11" ht="15.75">
      <c r="B4" s="26"/>
    </row>
    <row r="5" spans="1:11" ht="21.75" customHeight="1">
      <c r="A5" s="271" t="s">
        <v>136</v>
      </c>
      <c r="B5" s="271" t="s">
        <v>3</v>
      </c>
      <c r="C5" s="262" t="s">
        <v>5</v>
      </c>
      <c r="D5" s="262" t="s">
        <v>11</v>
      </c>
      <c r="E5" s="271" t="s">
        <v>338</v>
      </c>
      <c r="F5" s="262" t="s">
        <v>47</v>
      </c>
      <c r="G5" s="262"/>
      <c r="H5" s="262"/>
      <c r="I5" s="262"/>
      <c r="J5" s="17"/>
    </row>
    <row r="6" spans="1:11" ht="69.75" customHeight="1">
      <c r="A6" s="272"/>
      <c r="B6" s="272"/>
      <c r="C6" s="262"/>
      <c r="D6" s="262"/>
      <c r="E6" s="272"/>
      <c r="F6" s="15" t="s">
        <v>427</v>
      </c>
      <c r="G6" s="15" t="s">
        <v>428</v>
      </c>
      <c r="H6" s="15" t="s">
        <v>429</v>
      </c>
      <c r="I6" s="180" t="s">
        <v>48</v>
      </c>
      <c r="J6" s="17"/>
    </row>
    <row r="7" spans="1:11" ht="15.7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17"/>
    </row>
    <row r="8" spans="1:11" ht="25.5" customHeight="1">
      <c r="A8" s="37">
        <v>1</v>
      </c>
      <c r="B8" s="33" t="s">
        <v>137</v>
      </c>
      <c r="C8" s="34" t="s">
        <v>138</v>
      </c>
      <c r="D8" s="8" t="s">
        <v>12</v>
      </c>
      <c r="E8" s="118"/>
      <c r="F8" s="15">
        <f>'Раздел 1'!D57</f>
        <v>29023427.52</v>
      </c>
      <c r="G8" s="15">
        <f>'Раздел 1'!E57</f>
        <v>26710816.969999999</v>
      </c>
      <c r="H8" s="15">
        <f>'Раздел 1'!F57</f>
        <v>28121134.559999999</v>
      </c>
      <c r="I8" s="51">
        <f>'Раздел 1'!G60</f>
        <v>0</v>
      </c>
      <c r="J8" s="17"/>
    </row>
    <row r="9" spans="1:11" ht="189" customHeight="1">
      <c r="A9" s="37" t="s">
        <v>27</v>
      </c>
      <c r="B9" s="33" t="s">
        <v>139</v>
      </c>
      <c r="C9" s="34" t="s">
        <v>140</v>
      </c>
      <c r="D9" s="8" t="s">
        <v>12</v>
      </c>
      <c r="E9" s="118"/>
      <c r="F9" s="32"/>
      <c r="G9" s="32"/>
      <c r="H9" s="32"/>
      <c r="I9" s="32"/>
      <c r="J9" s="17"/>
    </row>
    <row r="10" spans="1:11" ht="70.5" customHeight="1">
      <c r="A10" s="37" t="s">
        <v>28</v>
      </c>
      <c r="B10" s="30" t="s">
        <v>141</v>
      </c>
      <c r="C10" s="34" t="s">
        <v>142</v>
      </c>
      <c r="D10" s="8" t="s">
        <v>12</v>
      </c>
      <c r="E10" s="118"/>
      <c r="F10" s="15"/>
      <c r="G10" s="15"/>
      <c r="H10" s="15"/>
      <c r="I10" s="15"/>
      <c r="J10" s="7"/>
    </row>
    <row r="11" spans="1:11" ht="65.25" customHeight="1">
      <c r="A11" s="37" t="s">
        <v>29</v>
      </c>
      <c r="B11" s="30" t="s">
        <v>143</v>
      </c>
      <c r="C11" s="35" t="s">
        <v>144</v>
      </c>
      <c r="D11" s="29" t="s">
        <v>12</v>
      </c>
      <c r="E11" s="123"/>
      <c r="F11" s="15">
        <v>2836289.76</v>
      </c>
      <c r="G11" s="15">
        <v>0</v>
      </c>
      <c r="H11" s="15">
        <v>0</v>
      </c>
      <c r="I11" s="15"/>
      <c r="J11" s="6"/>
    </row>
    <row r="12" spans="1:11" ht="39" customHeight="1">
      <c r="A12" s="37" t="s">
        <v>339</v>
      </c>
      <c r="B12" s="30" t="s">
        <v>340</v>
      </c>
      <c r="C12" s="35" t="s">
        <v>341</v>
      </c>
      <c r="D12" s="29" t="s">
        <v>12</v>
      </c>
      <c r="E12" s="123"/>
      <c r="F12" s="47"/>
      <c r="G12" s="15"/>
      <c r="H12" s="15"/>
      <c r="I12" s="15"/>
      <c r="J12" s="182"/>
      <c r="K12" s="6"/>
    </row>
    <row r="13" spans="1:11" ht="33.75" customHeight="1">
      <c r="A13" s="37"/>
      <c r="B13" s="30" t="s">
        <v>342</v>
      </c>
      <c r="C13" s="35" t="s">
        <v>343</v>
      </c>
      <c r="D13" s="29" t="s">
        <v>12</v>
      </c>
      <c r="E13" s="123"/>
      <c r="F13" s="47"/>
      <c r="G13" s="15"/>
      <c r="H13" s="15"/>
      <c r="I13" s="15"/>
      <c r="J13" s="182"/>
      <c r="K13" s="6"/>
    </row>
    <row r="14" spans="1:11" ht="24.75" customHeight="1">
      <c r="A14" s="37" t="s">
        <v>344</v>
      </c>
      <c r="B14" s="30" t="s">
        <v>345</v>
      </c>
      <c r="C14" s="35" t="s">
        <v>346</v>
      </c>
      <c r="D14" s="29" t="s">
        <v>12</v>
      </c>
      <c r="E14" s="123"/>
      <c r="F14" s="47"/>
      <c r="G14" s="15"/>
      <c r="H14" s="15"/>
      <c r="I14" s="15"/>
      <c r="J14" s="182"/>
      <c r="K14" s="6"/>
    </row>
    <row r="15" spans="1:11" ht="63" customHeight="1">
      <c r="A15" s="37" t="s">
        <v>145</v>
      </c>
      <c r="B15" s="30" t="s">
        <v>146</v>
      </c>
      <c r="C15" s="35" t="s">
        <v>147</v>
      </c>
      <c r="D15" s="29" t="s">
        <v>12</v>
      </c>
      <c r="E15" s="123"/>
      <c r="F15" s="15">
        <f>F8-F11</f>
        <v>26187137.759999998</v>
      </c>
      <c r="G15" s="15">
        <f t="shared" ref="G15:H15" si="1">G8-G11</f>
        <v>26710816.969999999</v>
      </c>
      <c r="H15" s="15">
        <f t="shared" si="1"/>
        <v>28121134.559999999</v>
      </c>
      <c r="I15" s="180"/>
      <c r="J15" s="6"/>
    </row>
    <row r="16" spans="1:11" ht="61.5" customHeight="1">
      <c r="A16" s="37" t="s">
        <v>148</v>
      </c>
      <c r="B16" s="30" t="s">
        <v>149</v>
      </c>
      <c r="C16" s="34" t="s">
        <v>150</v>
      </c>
      <c r="D16" s="8" t="s">
        <v>12</v>
      </c>
      <c r="E16" s="118"/>
      <c r="F16" s="15">
        <f>20713770.67</f>
        <v>20713770.670000002</v>
      </c>
      <c r="G16" s="15">
        <v>19108886.969999999</v>
      </c>
      <c r="H16" s="15">
        <v>20576264.969999999</v>
      </c>
      <c r="I16" s="15"/>
      <c r="J16" s="7"/>
    </row>
    <row r="17" spans="1:11" ht="35.25" customHeight="1">
      <c r="A17" s="37" t="s">
        <v>151</v>
      </c>
      <c r="B17" s="30" t="s">
        <v>152</v>
      </c>
      <c r="C17" s="34" t="s">
        <v>153</v>
      </c>
      <c r="D17" s="8" t="s">
        <v>12</v>
      </c>
      <c r="E17" s="118"/>
      <c r="F17" s="180"/>
      <c r="G17" s="180"/>
      <c r="H17" s="180"/>
      <c r="I17" s="180"/>
      <c r="J17" s="7"/>
    </row>
    <row r="18" spans="1:11" ht="21" customHeight="1">
      <c r="A18" s="37" t="s">
        <v>154</v>
      </c>
      <c r="B18" s="30" t="s">
        <v>155</v>
      </c>
      <c r="C18" s="34" t="s">
        <v>156</v>
      </c>
      <c r="D18" s="8" t="s">
        <v>12</v>
      </c>
      <c r="E18" s="118"/>
      <c r="F18" s="15"/>
      <c r="G18" s="15"/>
      <c r="H18" s="15"/>
      <c r="I18" s="15"/>
      <c r="J18" s="6"/>
    </row>
    <row r="19" spans="1:11" ht="48.75" customHeight="1">
      <c r="A19" s="37" t="s">
        <v>157</v>
      </c>
      <c r="B19" s="30" t="s">
        <v>158</v>
      </c>
      <c r="C19" s="35" t="s">
        <v>159</v>
      </c>
      <c r="D19" s="29" t="s">
        <v>12</v>
      </c>
      <c r="E19" s="123"/>
      <c r="F19" s="15">
        <f>6047999.77-F11</f>
        <v>3211710.01</v>
      </c>
      <c r="G19" s="15">
        <v>5429530</v>
      </c>
      <c r="H19" s="15">
        <v>5372469.5899999999</v>
      </c>
      <c r="I19" s="180"/>
      <c r="J19" s="6"/>
    </row>
    <row r="20" spans="1:11" ht="33.75" customHeight="1">
      <c r="A20" s="37" t="s">
        <v>160</v>
      </c>
      <c r="B20" s="30" t="s">
        <v>152</v>
      </c>
      <c r="C20" s="34" t="s">
        <v>161</v>
      </c>
      <c r="D20" s="8" t="s">
        <v>12</v>
      </c>
      <c r="E20" s="118"/>
      <c r="F20" s="15"/>
      <c r="G20" s="15"/>
      <c r="H20" s="15" t="s">
        <v>363</v>
      </c>
      <c r="I20" s="15"/>
      <c r="J20" s="6"/>
    </row>
    <row r="21" spans="1:11" ht="33.75" customHeight="1">
      <c r="A21" s="37"/>
      <c r="B21" s="30" t="s">
        <v>342</v>
      </c>
      <c r="C21" s="34" t="s">
        <v>347</v>
      </c>
      <c r="D21" s="118" t="s">
        <v>12</v>
      </c>
      <c r="E21" s="118"/>
      <c r="F21" s="180"/>
      <c r="G21" s="15"/>
      <c r="H21" s="15"/>
      <c r="I21" s="15"/>
      <c r="J21" s="183"/>
      <c r="K21" s="6"/>
    </row>
    <row r="22" spans="1:11" ht="21" customHeight="1">
      <c r="A22" s="37" t="s">
        <v>162</v>
      </c>
      <c r="B22" s="30" t="s">
        <v>163</v>
      </c>
      <c r="C22" s="34" t="s">
        <v>164</v>
      </c>
      <c r="D22" s="8" t="s">
        <v>12</v>
      </c>
      <c r="E22" s="118"/>
      <c r="F22" s="15"/>
      <c r="G22" s="15"/>
      <c r="H22" s="15"/>
      <c r="I22" s="180"/>
      <c r="J22" s="6"/>
    </row>
    <row r="23" spans="1:11" ht="21" customHeight="1">
      <c r="A23" s="37"/>
      <c r="B23" s="30" t="s">
        <v>163</v>
      </c>
      <c r="C23" s="34" t="s">
        <v>164</v>
      </c>
      <c r="D23" s="175"/>
      <c r="E23" s="176"/>
      <c r="F23" s="15"/>
      <c r="G23" s="15"/>
      <c r="H23" s="15"/>
      <c r="I23" s="180"/>
      <c r="J23" s="6"/>
    </row>
    <row r="24" spans="1:11" ht="21" customHeight="1">
      <c r="A24" s="37"/>
      <c r="B24" s="30" t="s">
        <v>163</v>
      </c>
      <c r="C24" s="34" t="s">
        <v>164</v>
      </c>
      <c r="D24" s="175"/>
      <c r="E24" s="175"/>
      <c r="F24" s="15"/>
      <c r="G24" s="15"/>
      <c r="H24" s="15"/>
      <c r="I24" s="180"/>
      <c r="J24" s="6"/>
    </row>
    <row r="25" spans="1:11" ht="36" customHeight="1">
      <c r="A25" s="37" t="s">
        <v>165</v>
      </c>
      <c r="B25" s="30" t="s">
        <v>166</v>
      </c>
      <c r="C25" s="34" t="s">
        <v>167</v>
      </c>
      <c r="D25" s="8" t="s">
        <v>12</v>
      </c>
      <c r="E25" s="118"/>
      <c r="F25" s="15"/>
      <c r="G25" s="15"/>
      <c r="H25" s="15"/>
      <c r="I25" s="180"/>
      <c r="J25" s="6"/>
    </row>
    <row r="26" spans="1:11" ht="36" customHeight="1">
      <c r="A26" s="37"/>
      <c r="B26" s="30" t="s">
        <v>342</v>
      </c>
      <c r="C26" s="34" t="s">
        <v>348</v>
      </c>
      <c r="D26" s="118" t="s">
        <v>12</v>
      </c>
      <c r="E26" s="118"/>
      <c r="F26" s="180"/>
      <c r="G26" s="180"/>
      <c r="H26" s="180"/>
      <c r="I26" s="180"/>
      <c r="J26" s="184"/>
      <c r="K26" s="6"/>
    </row>
    <row r="27" spans="1:11" ht="30" customHeight="1">
      <c r="A27" s="37" t="s">
        <v>168</v>
      </c>
      <c r="B27" s="30" t="s">
        <v>169</v>
      </c>
      <c r="C27" s="34" t="s">
        <v>170</v>
      </c>
      <c r="D27" s="8" t="s">
        <v>12</v>
      </c>
      <c r="E27" s="118"/>
      <c r="F27" s="15">
        <v>2261657.08</v>
      </c>
      <c r="G27" s="15">
        <v>2172400</v>
      </c>
      <c r="H27" s="15">
        <v>2172400</v>
      </c>
      <c r="I27" s="15"/>
      <c r="J27" s="7"/>
    </row>
    <row r="28" spans="1:11" ht="32.25" customHeight="1">
      <c r="A28" s="37" t="s">
        <v>171</v>
      </c>
      <c r="B28" s="30" t="s">
        <v>152</v>
      </c>
      <c r="C28" s="35" t="s">
        <v>172</v>
      </c>
      <c r="D28" s="29" t="s">
        <v>12</v>
      </c>
      <c r="E28" s="123"/>
      <c r="F28" s="15"/>
      <c r="G28" s="15"/>
      <c r="H28" s="15"/>
      <c r="I28" s="180"/>
      <c r="J28" s="6"/>
    </row>
    <row r="29" spans="1:11" ht="32.25" customHeight="1">
      <c r="A29" s="37"/>
      <c r="B29" s="30" t="s">
        <v>342</v>
      </c>
      <c r="C29" s="35" t="s">
        <v>349</v>
      </c>
      <c r="D29" s="29" t="s">
        <v>12</v>
      </c>
      <c r="E29" s="123"/>
      <c r="F29" s="47"/>
      <c r="G29" s="180"/>
      <c r="H29" s="180"/>
      <c r="I29" s="180"/>
      <c r="J29" s="181"/>
      <c r="K29" s="6"/>
    </row>
    <row r="30" spans="1:11" ht="19.5" customHeight="1">
      <c r="A30" s="37" t="s">
        <v>173</v>
      </c>
      <c r="B30" s="30" t="s">
        <v>155</v>
      </c>
      <c r="C30" s="34" t="s">
        <v>174</v>
      </c>
      <c r="D30" s="8" t="s">
        <v>12</v>
      </c>
      <c r="E30" s="118"/>
      <c r="F30" s="15"/>
      <c r="G30" s="15"/>
      <c r="H30" s="15"/>
      <c r="I30" s="15"/>
      <c r="J30" s="6"/>
    </row>
    <row r="31" spans="1:11" ht="69" customHeight="1">
      <c r="A31" s="37" t="s">
        <v>175</v>
      </c>
      <c r="B31" s="30" t="s">
        <v>176</v>
      </c>
      <c r="C31" s="35" t="s">
        <v>177</v>
      </c>
      <c r="D31" s="29" t="s">
        <v>12</v>
      </c>
      <c r="E31" s="123"/>
      <c r="F31" s="15">
        <v>0</v>
      </c>
      <c r="G31" s="15">
        <v>0</v>
      </c>
      <c r="H31" s="15">
        <v>0</v>
      </c>
      <c r="I31" s="180"/>
      <c r="J31" s="6"/>
    </row>
    <row r="32" spans="1:11" ht="18.75" customHeight="1">
      <c r="A32" s="37"/>
      <c r="B32" s="27" t="s">
        <v>178</v>
      </c>
      <c r="C32" s="35" t="s">
        <v>179</v>
      </c>
      <c r="D32" s="29"/>
      <c r="E32" s="123"/>
      <c r="F32" s="180"/>
      <c r="G32" s="180"/>
      <c r="H32" s="180"/>
      <c r="I32" s="180"/>
      <c r="J32" s="6"/>
    </row>
    <row r="33" spans="1:10" ht="72" customHeight="1">
      <c r="A33" s="37" t="s">
        <v>180</v>
      </c>
      <c r="B33" s="30" t="s">
        <v>181</v>
      </c>
      <c r="C33" s="35" t="s">
        <v>182</v>
      </c>
      <c r="D33" s="29" t="s">
        <v>12</v>
      </c>
      <c r="E33" s="123"/>
      <c r="F33" s="15">
        <f>F15</f>
        <v>26187137.759999998</v>
      </c>
      <c r="G33" s="15">
        <f t="shared" ref="G33:H33" si="2">G15</f>
        <v>26710816.969999999</v>
      </c>
      <c r="H33" s="15">
        <f t="shared" si="2"/>
        <v>28121134.559999999</v>
      </c>
      <c r="I33" s="15"/>
      <c r="J33" s="6"/>
    </row>
    <row r="34" spans="1:10" ht="20.25" customHeight="1">
      <c r="A34" s="37"/>
      <c r="B34" s="177" t="s">
        <v>178</v>
      </c>
      <c r="C34" s="34" t="s">
        <v>183</v>
      </c>
      <c r="D34" s="47"/>
      <c r="E34" s="47"/>
      <c r="F34" s="180"/>
      <c r="G34" s="180"/>
      <c r="H34" s="180"/>
      <c r="I34" s="180"/>
      <c r="J34" s="6"/>
    </row>
    <row r="35" spans="1:10" ht="15.75">
      <c r="A35" s="2"/>
      <c r="B35" s="5"/>
      <c r="C35" s="2"/>
      <c r="D35" s="2"/>
      <c r="E35" s="2"/>
      <c r="F35" s="2"/>
      <c r="G35" s="2"/>
      <c r="H35" s="2"/>
      <c r="I35" s="2"/>
    </row>
    <row r="36" spans="1:10" ht="15.75">
      <c r="A36" s="2"/>
      <c r="B36" s="2" t="s">
        <v>424</v>
      </c>
      <c r="C36" s="269" t="s">
        <v>395</v>
      </c>
      <c r="D36" s="269"/>
      <c r="E36" s="124"/>
      <c r="F36" s="2"/>
      <c r="G36" s="2"/>
      <c r="H36" s="2"/>
      <c r="I36" s="2"/>
    </row>
    <row r="37" spans="1:10" ht="12.75" customHeight="1">
      <c r="A37" s="2"/>
      <c r="B37" s="268" t="s">
        <v>184</v>
      </c>
      <c r="C37" s="268"/>
      <c r="D37" s="268"/>
      <c r="E37" s="119"/>
      <c r="F37" s="2"/>
      <c r="G37" s="2"/>
      <c r="H37" s="2"/>
      <c r="I37" s="2"/>
    </row>
    <row r="38" spans="1:10" ht="15.75">
      <c r="A38" s="2"/>
      <c r="B38" s="2"/>
      <c r="C38" s="2"/>
      <c r="D38" s="2"/>
      <c r="E38" s="2"/>
      <c r="F38" s="2"/>
      <c r="G38" s="2"/>
      <c r="H38" s="2"/>
      <c r="I38" s="2"/>
    </row>
    <row r="39" spans="1:10" s="125" customFormat="1" ht="15.75">
      <c r="A39" s="127"/>
      <c r="B39" s="127" t="s">
        <v>399</v>
      </c>
      <c r="F39" s="238" t="s">
        <v>416</v>
      </c>
      <c r="G39" s="238"/>
      <c r="H39" s="127"/>
      <c r="I39" s="127"/>
    </row>
    <row r="40" spans="1:10" s="125" customFormat="1" ht="15.75" customHeight="1">
      <c r="A40" s="127"/>
      <c r="B40" s="270" t="s">
        <v>400</v>
      </c>
      <c r="C40" s="270"/>
      <c r="D40" s="270"/>
      <c r="E40" s="270"/>
      <c r="F40" s="270"/>
      <c r="G40" s="270"/>
      <c r="H40" s="127"/>
      <c r="I40" s="127"/>
    </row>
    <row r="41" spans="1:10" s="125" customFormat="1" ht="15.75">
      <c r="A41" s="127"/>
      <c r="B41" s="127"/>
      <c r="C41" s="127"/>
      <c r="D41" s="127"/>
      <c r="E41" s="127"/>
      <c r="F41" s="127"/>
      <c r="G41" s="127"/>
      <c r="H41" s="127"/>
      <c r="I41" s="127"/>
    </row>
    <row r="42" spans="1:10" s="125" customFormat="1" ht="15.75">
      <c r="A42" s="127"/>
      <c r="B42" s="127" t="s">
        <v>426</v>
      </c>
      <c r="C42" s="127"/>
      <c r="D42" s="127"/>
      <c r="E42" s="127"/>
      <c r="F42" s="127"/>
      <c r="G42" s="127"/>
      <c r="H42" s="127"/>
      <c r="I42" s="127"/>
    </row>
    <row r="43" spans="1:10" s="125" customFormat="1" ht="15.75">
      <c r="A43" s="127"/>
      <c r="B43" s="127"/>
      <c r="C43" s="127"/>
      <c r="D43" s="127"/>
      <c r="E43" s="127"/>
      <c r="F43" s="127"/>
      <c r="G43" s="127"/>
      <c r="H43" s="127"/>
      <c r="I43" s="127"/>
    </row>
    <row r="44" spans="1:10" ht="15.75">
      <c r="A44" s="2"/>
      <c r="B44" s="263" t="s">
        <v>185</v>
      </c>
      <c r="C44" s="263"/>
      <c r="D44" s="263"/>
      <c r="E44" s="263"/>
      <c r="F44" s="263"/>
      <c r="G44" s="2"/>
      <c r="H44" s="2"/>
      <c r="I44" s="2"/>
    </row>
    <row r="45" spans="1:10" s="239" customFormat="1" ht="35.25" customHeight="1">
      <c r="A45" s="18"/>
      <c r="B45" s="264" t="s">
        <v>402</v>
      </c>
      <c r="C45" s="264"/>
      <c r="D45" s="264"/>
      <c r="E45" s="264"/>
      <c r="F45" s="264"/>
      <c r="G45" s="18"/>
      <c r="H45" s="18"/>
      <c r="I45" s="18"/>
    </row>
    <row r="46" spans="1:10" ht="15.75">
      <c r="A46" s="2"/>
      <c r="B46" s="265" t="s">
        <v>186</v>
      </c>
      <c r="C46" s="265"/>
      <c r="D46" s="265"/>
      <c r="E46" s="265"/>
      <c r="F46" s="265"/>
      <c r="G46" s="2"/>
      <c r="H46" s="2"/>
      <c r="I46" s="2"/>
    </row>
    <row r="47" spans="1:10" ht="15.75">
      <c r="A47" s="2"/>
      <c r="B47" s="266" t="s">
        <v>401</v>
      </c>
      <c r="C47" s="266"/>
      <c r="D47" s="266"/>
      <c r="E47" s="266"/>
      <c r="F47" s="266"/>
      <c r="G47" s="2"/>
      <c r="H47" s="2"/>
      <c r="I47" s="2"/>
    </row>
    <row r="48" spans="1:10" ht="15.75">
      <c r="A48" s="2"/>
      <c r="B48" s="267" t="s">
        <v>187</v>
      </c>
      <c r="C48" s="267"/>
      <c r="D48" s="267"/>
      <c r="E48" s="267"/>
      <c r="F48" s="267"/>
      <c r="G48" s="2"/>
      <c r="H48" s="2"/>
      <c r="I48" s="2"/>
    </row>
    <row r="49" spans="1:9" ht="15.75">
      <c r="A49" s="2"/>
      <c r="B49" s="263" t="s">
        <v>425</v>
      </c>
      <c r="C49" s="263"/>
      <c r="D49" s="263"/>
      <c r="E49" s="263"/>
      <c r="F49" s="263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44"/>
      <c r="B52" s="44"/>
      <c r="C52" s="44"/>
      <c r="D52" s="44"/>
      <c r="E52" s="44"/>
      <c r="F52" s="44"/>
      <c r="G52" s="44"/>
      <c r="H52" s="44"/>
      <c r="I52" s="44"/>
    </row>
    <row r="53" spans="1:9">
      <c r="A53" s="44"/>
      <c r="B53" s="44"/>
      <c r="C53" s="44"/>
      <c r="D53" s="44"/>
      <c r="E53" s="44"/>
      <c r="F53" s="44"/>
      <c r="G53" s="44"/>
      <c r="H53" s="44"/>
      <c r="I53" s="44"/>
    </row>
    <row r="54" spans="1:9">
      <c r="A54" s="44"/>
      <c r="B54" s="44"/>
      <c r="C54" s="44"/>
      <c r="D54" s="44"/>
      <c r="E54" s="44"/>
      <c r="F54" s="44"/>
      <c r="G54" s="44"/>
      <c r="H54" s="44"/>
      <c r="I54" s="44"/>
    </row>
    <row r="55" spans="1:9">
      <c r="A55" s="44"/>
      <c r="B55" s="44"/>
      <c r="C55" s="44"/>
      <c r="D55" s="44"/>
      <c r="E55" s="44"/>
      <c r="F55" s="44"/>
      <c r="G55" s="44"/>
      <c r="H55" s="44"/>
      <c r="I55" s="44"/>
    </row>
    <row r="56" spans="1:9">
      <c r="A56" s="44"/>
      <c r="B56" s="44"/>
      <c r="C56" s="44"/>
      <c r="D56" s="44"/>
      <c r="E56" s="44"/>
      <c r="F56" s="44"/>
      <c r="G56" s="44"/>
      <c r="H56" s="44"/>
      <c r="I56" s="44"/>
    </row>
    <row r="57" spans="1:9">
      <c r="A57" s="44"/>
      <c r="B57" s="44"/>
      <c r="C57" s="44"/>
      <c r="D57" s="44"/>
      <c r="E57" s="44"/>
      <c r="F57" s="44"/>
      <c r="G57" s="44"/>
      <c r="H57" s="44"/>
      <c r="I57" s="44"/>
    </row>
    <row r="58" spans="1:9">
      <c r="A58" s="44"/>
      <c r="B58" s="44"/>
      <c r="C58" s="44"/>
      <c r="D58" s="44"/>
      <c r="E58" s="44"/>
      <c r="F58" s="44"/>
      <c r="G58" s="44"/>
      <c r="H58" s="44"/>
      <c r="I58" s="44"/>
    </row>
    <row r="59" spans="1:9">
      <c r="A59" s="44"/>
      <c r="B59" s="44"/>
      <c r="C59" s="44"/>
      <c r="D59" s="44"/>
      <c r="E59" s="44"/>
      <c r="F59" s="44"/>
      <c r="G59" s="44"/>
      <c r="H59" s="44"/>
      <c r="I59" s="44"/>
    </row>
    <row r="60" spans="1:9">
      <c r="A60" s="44"/>
      <c r="B60" s="44"/>
      <c r="C60" s="44"/>
      <c r="D60" s="44"/>
      <c r="E60" s="44"/>
      <c r="F60" s="44"/>
      <c r="G60" s="44"/>
      <c r="H60" s="44"/>
      <c r="I60" s="44"/>
    </row>
    <row r="61" spans="1:9">
      <c r="A61" s="44"/>
      <c r="B61" s="44"/>
      <c r="C61" s="44"/>
      <c r="D61" s="44"/>
      <c r="E61" s="44"/>
      <c r="F61" s="44"/>
      <c r="G61" s="44"/>
      <c r="H61" s="44"/>
      <c r="I61" s="44"/>
    </row>
    <row r="62" spans="1:9">
      <c r="A62" s="44"/>
      <c r="B62" s="44"/>
      <c r="C62" s="44"/>
      <c r="D62" s="44"/>
      <c r="E62" s="44"/>
      <c r="F62" s="44"/>
      <c r="G62" s="44"/>
      <c r="H62" s="44"/>
      <c r="I62" s="44"/>
    </row>
    <row r="63" spans="1:9">
      <c r="A63" s="44"/>
      <c r="B63" s="44"/>
      <c r="C63" s="44"/>
      <c r="D63" s="44"/>
      <c r="E63" s="44"/>
      <c r="F63" s="44"/>
      <c r="G63" s="44"/>
      <c r="H63" s="44"/>
      <c r="I63" s="44"/>
    </row>
  </sheetData>
  <mergeCells count="16">
    <mergeCell ref="B3:I3"/>
    <mergeCell ref="B37:D37"/>
    <mergeCell ref="C36:D36"/>
    <mergeCell ref="B40:G40"/>
    <mergeCell ref="A5:A6"/>
    <mergeCell ref="B5:B6"/>
    <mergeCell ref="C5:C6"/>
    <mergeCell ref="D5:D6"/>
    <mergeCell ref="F5:I5"/>
    <mergeCell ref="E5:E6"/>
    <mergeCell ref="B49:F49"/>
    <mergeCell ref="B44:F44"/>
    <mergeCell ref="B45:F45"/>
    <mergeCell ref="B46:F46"/>
    <mergeCell ref="B47:F47"/>
    <mergeCell ref="B48:F4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2" manualBreakCount="2">
    <brk id="14" max="7" man="1"/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V399764"/>
  <sheetViews>
    <sheetView view="pageBreakPreview" topLeftCell="B67" zoomScale="60" workbookViewId="0">
      <selection activeCell="B253" sqref="A253:XFD256"/>
    </sheetView>
  </sheetViews>
  <sheetFormatPr defaultRowHeight="15" outlineLevelRow="1"/>
  <cols>
    <col min="1" max="1" width="3.85546875" customWidth="1"/>
    <col min="2" max="2" width="9.28515625" bestFit="1" customWidth="1"/>
    <col min="3" max="3" width="9.85546875" customWidth="1"/>
    <col min="4" max="4" width="30.42578125" style="125" customWidth="1"/>
    <col min="5" max="5" width="11.85546875" style="125" customWidth="1"/>
    <col min="6" max="6" width="14.140625" style="125" customWidth="1"/>
    <col min="7" max="7" width="15.28515625" style="125" customWidth="1"/>
    <col min="8" max="8" width="15.7109375" style="125" customWidth="1"/>
    <col min="9" max="9" width="14.140625" style="125" customWidth="1"/>
    <col min="10" max="10" width="11.42578125" style="125" customWidth="1"/>
    <col min="11" max="11" width="14" style="125" customWidth="1"/>
    <col min="12" max="12" width="14.5703125" style="125" customWidth="1"/>
    <col min="13" max="13" width="18" style="125" customWidth="1"/>
    <col min="14" max="14" width="15.42578125" style="125" customWidth="1"/>
    <col min="15" max="15" width="14.7109375" style="125" customWidth="1"/>
    <col min="16" max="16" width="12.85546875" style="125" customWidth="1"/>
    <col min="17" max="17" width="21" style="125" customWidth="1"/>
    <col min="18" max="18" width="16" customWidth="1"/>
    <col min="19" max="19" width="18.140625" customWidth="1"/>
    <col min="20" max="20" width="16.140625" customWidth="1"/>
    <col min="21" max="21" width="13.85546875" customWidth="1"/>
    <col min="22" max="22" width="11.42578125" customWidth="1"/>
  </cols>
  <sheetData>
    <row r="1" spans="2:22" ht="15" customHeight="1"/>
    <row r="2" spans="2:22" ht="15" customHeight="1"/>
    <row r="3" spans="2:22" ht="71.25" customHeight="1">
      <c r="B3" s="2"/>
      <c r="C3" s="345" t="s">
        <v>430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2:22" ht="15.75">
      <c r="B4" s="2"/>
      <c r="C4" s="2"/>
      <c r="D4" s="127"/>
      <c r="E4" s="126"/>
      <c r="F4" s="126"/>
      <c r="G4" s="126"/>
      <c r="H4" s="126"/>
      <c r="I4" s="126"/>
      <c r="J4" s="126"/>
      <c r="K4" s="126"/>
      <c r="L4" s="126"/>
      <c r="M4" s="126"/>
    </row>
    <row r="5" spans="2:22" ht="15.75" customHeight="1">
      <c r="B5" s="2"/>
      <c r="C5" s="346" t="s">
        <v>261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</row>
    <row r="6" spans="2:22" ht="15.75">
      <c r="B6" s="2"/>
      <c r="C6" s="2"/>
      <c r="D6" s="127"/>
      <c r="E6" s="126"/>
      <c r="F6" s="126"/>
      <c r="G6" s="126"/>
      <c r="H6" s="126"/>
      <c r="I6" s="126"/>
      <c r="J6" s="126"/>
      <c r="K6" s="126"/>
      <c r="L6" s="126"/>
      <c r="M6" s="126"/>
    </row>
    <row r="7" spans="2:22" s="53" customFormat="1" ht="15.75" customHeight="1">
      <c r="B7" s="52"/>
      <c r="C7" s="347" t="s">
        <v>248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125"/>
      <c r="P7" s="125"/>
      <c r="Q7" s="125"/>
    </row>
    <row r="8" spans="2:22" s="53" customFormat="1" ht="15.75">
      <c r="B8" s="52"/>
      <c r="C8" s="52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5"/>
      <c r="O8" s="125"/>
      <c r="P8" s="125"/>
      <c r="Q8" s="125"/>
    </row>
    <row r="9" spans="2:22" s="53" customFormat="1" ht="63" customHeight="1">
      <c r="B9" s="332" t="s">
        <v>188</v>
      </c>
      <c r="C9" s="348" t="s">
        <v>2</v>
      </c>
      <c r="D9" s="288" t="s">
        <v>200</v>
      </c>
      <c r="E9" s="288" t="s">
        <v>316</v>
      </c>
      <c r="F9" s="288" t="s">
        <v>18</v>
      </c>
      <c r="G9" s="288"/>
      <c r="H9" s="288"/>
      <c r="I9" s="288"/>
      <c r="J9" s="351" t="s">
        <v>19</v>
      </c>
      <c r="K9" s="185" t="s">
        <v>189</v>
      </c>
      <c r="L9" s="288" t="s">
        <v>190</v>
      </c>
      <c r="M9" s="288"/>
      <c r="N9" s="288"/>
      <c r="O9" s="288"/>
      <c r="P9" s="288"/>
      <c r="Q9" s="125"/>
    </row>
    <row r="10" spans="2:22" s="53" customFormat="1" ht="94.5" customHeight="1">
      <c r="B10" s="332"/>
      <c r="C10" s="349"/>
      <c r="D10" s="288"/>
      <c r="E10" s="288"/>
      <c r="F10" s="288" t="s">
        <v>7</v>
      </c>
      <c r="G10" s="288" t="s">
        <v>4</v>
      </c>
      <c r="H10" s="288"/>
      <c r="I10" s="288"/>
      <c r="J10" s="352"/>
      <c r="K10" s="351" t="s">
        <v>244</v>
      </c>
      <c r="L10" s="288" t="s">
        <v>191</v>
      </c>
      <c r="M10" s="302" t="s">
        <v>192</v>
      </c>
      <c r="N10" s="288" t="s">
        <v>193</v>
      </c>
      <c r="O10" s="288" t="s">
        <v>194</v>
      </c>
      <c r="P10" s="288"/>
      <c r="Q10" s="125"/>
    </row>
    <row r="11" spans="2:22" s="53" customFormat="1" ht="87.75" customHeight="1">
      <c r="B11" s="332"/>
      <c r="C11" s="350"/>
      <c r="D11" s="288"/>
      <c r="E11" s="288"/>
      <c r="F11" s="288"/>
      <c r="G11" s="185" t="s">
        <v>20</v>
      </c>
      <c r="H11" s="185" t="s">
        <v>21</v>
      </c>
      <c r="I11" s="185" t="s">
        <v>22</v>
      </c>
      <c r="J11" s="353"/>
      <c r="K11" s="353"/>
      <c r="L11" s="288"/>
      <c r="M11" s="302"/>
      <c r="N11" s="288"/>
      <c r="O11" s="185" t="s">
        <v>14</v>
      </c>
      <c r="P11" s="185" t="s">
        <v>195</v>
      </c>
      <c r="Q11" s="193"/>
      <c r="R11" s="101">
        <f>K14/E14/12</f>
        <v>19678.086222222224</v>
      </c>
      <c r="S11" s="101"/>
      <c r="T11" s="86" t="s">
        <v>355</v>
      </c>
      <c r="U11" s="102">
        <v>0</v>
      </c>
    </row>
    <row r="12" spans="2:22" s="53" customFormat="1" ht="15.75">
      <c r="B12" s="90">
        <v>1</v>
      </c>
      <c r="C12" s="90">
        <v>2</v>
      </c>
      <c r="D12" s="185">
        <v>3</v>
      </c>
      <c r="E12" s="185">
        <v>4</v>
      </c>
      <c r="F12" s="185">
        <v>5</v>
      </c>
      <c r="G12" s="185">
        <v>6</v>
      </c>
      <c r="H12" s="185">
        <v>7</v>
      </c>
      <c r="I12" s="185">
        <v>8</v>
      </c>
      <c r="J12" s="185">
        <v>9</v>
      </c>
      <c r="K12" s="185">
        <v>10</v>
      </c>
      <c r="L12" s="185">
        <v>11</v>
      </c>
      <c r="M12" s="185">
        <v>12</v>
      </c>
      <c r="N12" s="185">
        <v>13</v>
      </c>
      <c r="O12" s="185">
        <v>14</v>
      </c>
      <c r="P12" s="185">
        <v>15</v>
      </c>
      <c r="Q12" s="193"/>
      <c r="R12" s="101"/>
      <c r="S12" s="101"/>
      <c r="T12" s="86" t="s">
        <v>317</v>
      </c>
      <c r="U12" s="100">
        <v>0</v>
      </c>
    </row>
    <row r="13" spans="2:22" s="53" customFormat="1" ht="36.75" customHeight="1">
      <c r="B13" s="66">
        <v>111</v>
      </c>
      <c r="C13" s="66" t="s">
        <v>196</v>
      </c>
      <c r="D13" s="130" t="s">
        <v>326</v>
      </c>
      <c r="E13" s="151">
        <v>32.9</v>
      </c>
      <c r="F13" s="133">
        <f>G13+H13+I13</f>
        <v>48166.629787234051</v>
      </c>
      <c r="G13" s="151">
        <f>(186083.38)/E13</f>
        <v>5656.0297872340425</v>
      </c>
      <c r="H13" s="151">
        <f>13448.49</f>
        <v>13448.49</v>
      </c>
      <c r="I13" s="133">
        <f>34415.73+2202.55+4625.31-12050.71-130.77</f>
        <v>29062.110000000004</v>
      </c>
      <c r="J13" s="47">
        <f xml:space="preserve"> ROUND((F13*15%),2)</f>
        <v>7224.99</v>
      </c>
      <c r="K13" s="133">
        <f>ROUND(((F13+J13)*12*E13),2)+4.34-3.3+2.65+1.77</f>
        <v>21868616.949999996</v>
      </c>
      <c r="L13" s="133">
        <f>K13-O13-M13</f>
        <v>21741416.949999996</v>
      </c>
      <c r="M13" s="133">
        <f>U11</f>
        <v>0</v>
      </c>
      <c r="N13" s="133" t="s">
        <v>238</v>
      </c>
      <c r="O13" s="151">
        <f>U14</f>
        <v>127200</v>
      </c>
      <c r="P13" s="133" t="s">
        <v>238</v>
      </c>
      <c r="Q13" s="194">
        <f>U15-Q14-Q15</f>
        <v>21868616.949999999</v>
      </c>
      <c r="R13" s="69">
        <f>S13/12/1.15/E13</f>
        <v>0</v>
      </c>
      <c r="S13" s="85">
        <f>Q13-K13</f>
        <v>0</v>
      </c>
      <c r="T13" s="86" t="s">
        <v>318</v>
      </c>
      <c r="U13" s="103">
        <v>30191992.390000001</v>
      </c>
    </row>
    <row r="14" spans="2:22" s="53" customFormat="1" ht="34.5" customHeight="1">
      <c r="B14" s="66">
        <v>111</v>
      </c>
      <c r="C14" s="66" t="s">
        <v>180</v>
      </c>
      <c r="D14" s="130" t="s">
        <v>197</v>
      </c>
      <c r="E14" s="151">
        <v>22.5</v>
      </c>
      <c r="F14" s="133">
        <f t="shared" ref="F14:F15" si="0">G14+H14+I14</f>
        <v>17111.373333333337</v>
      </c>
      <c r="G14" s="151">
        <f>(9030+8190+3510+166920)/E14</f>
        <v>8340</v>
      </c>
      <c r="H14" s="151">
        <f>(2433.6+4543.5)/E14</f>
        <v>310.09333333333336</v>
      </c>
      <c r="I14" s="133">
        <v>8461.2800000000007</v>
      </c>
      <c r="J14" s="47">
        <f xml:space="preserve"> ROUND((F14*15%),2)</f>
        <v>2566.71</v>
      </c>
      <c r="K14" s="133">
        <f>ROUND(((F14+J14)*12*E14),2)+0.19+0.59</f>
        <v>5313083.28</v>
      </c>
      <c r="L14" s="133">
        <f t="shared" ref="L14:L15" si="1">K14-O14</f>
        <v>5313083.28</v>
      </c>
      <c r="M14" s="133" t="s">
        <v>238</v>
      </c>
      <c r="N14" s="133" t="s">
        <v>238</v>
      </c>
      <c r="O14" s="47">
        <v>0</v>
      </c>
      <c r="P14" s="133" t="s">
        <v>238</v>
      </c>
      <c r="Q14" s="194">
        <f>(8405.24+27083.54+399715.62+2558.12+2558.12+2436.3)*12</f>
        <v>5313083.28</v>
      </c>
      <c r="R14" s="69">
        <f>S14/12/1.15/E14</f>
        <v>0</v>
      </c>
      <c r="S14" s="85">
        <f>Q14-K14</f>
        <v>0</v>
      </c>
      <c r="T14" s="86" t="s">
        <v>290</v>
      </c>
      <c r="U14" s="100">
        <v>127200</v>
      </c>
      <c r="V14" s="53">
        <f>ROUND((U14/9/9),2)</f>
        <v>1570.37</v>
      </c>
    </row>
    <row r="15" spans="2:22" s="53" customFormat="1" ht="50.25" customHeight="1">
      <c r="B15" s="66">
        <v>111</v>
      </c>
      <c r="C15" s="66" t="s">
        <v>199</v>
      </c>
      <c r="D15" s="130" t="s">
        <v>198</v>
      </c>
      <c r="E15" s="151">
        <f>1+3</f>
        <v>4</v>
      </c>
      <c r="F15" s="47">
        <f t="shared" si="0"/>
        <v>56838.404999999999</v>
      </c>
      <c r="G15" s="151">
        <f>(153615+18675)/E15</f>
        <v>43072.5</v>
      </c>
      <c r="H15" s="151">
        <f>(4042.5)/E15</f>
        <v>1010.625</v>
      </c>
      <c r="I15" s="133">
        <v>12755.28</v>
      </c>
      <c r="J15" s="47">
        <f xml:space="preserve"> ROUND((F15*15%),2)</f>
        <v>8525.76</v>
      </c>
      <c r="K15" s="133">
        <f>ROUND(((F15+J15)*12*E15),2)+12.24</f>
        <v>3137492.16</v>
      </c>
      <c r="L15" s="133">
        <f t="shared" si="1"/>
        <v>3137492.16</v>
      </c>
      <c r="M15" s="133" t="s">
        <v>238</v>
      </c>
      <c r="N15" s="133" t="s">
        <v>238</v>
      </c>
      <c r="O15" s="47">
        <v>0</v>
      </c>
      <c r="P15" s="133" t="s">
        <v>238</v>
      </c>
      <c r="Q15" s="194">
        <f>(232853.04+28604.64)*12</f>
        <v>3137492.16</v>
      </c>
      <c r="R15" s="69">
        <f>S15/12/1.15/E15</f>
        <v>0</v>
      </c>
      <c r="S15" s="85">
        <f>Q15-K15</f>
        <v>0</v>
      </c>
      <c r="T15" s="86" t="s">
        <v>7</v>
      </c>
      <c r="U15" s="150">
        <f>SUM(U11:U14)</f>
        <v>30319192.390000001</v>
      </c>
      <c r="V15" s="69">
        <f>U15-K16</f>
        <v>0</v>
      </c>
    </row>
    <row r="16" spans="2:22" s="53" customFormat="1" ht="15.75">
      <c r="B16" s="99"/>
      <c r="C16" s="343" t="s">
        <v>23</v>
      </c>
      <c r="D16" s="343"/>
      <c r="E16" s="128" t="s">
        <v>9</v>
      </c>
      <c r="F16" s="128" t="s">
        <v>9</v>
      </c>
      <c r="G16" s="128" t="s">
        <v>9</v>
      </c>
      <c r="H16" s="128" t="s">
        <v>9</v>
      </c>
      <c r="I16" s="128" t="s">
        <v>9</v>
      </c>
      <c r="J16" s="128" t="s">
        <v>9</v>
      </c>
      <c r="K16" s="195">
        <f>SUM(K13:K15)</f>
        <v>30319192.389999997</v>
      </c>
      <c r="L16" s="195">
        <f>SUM(L13:L15)</f>
        <v>30191992.389999997</v>
      </c>
      <c r="M16" s="195">
        <f t="shared" ref="M16:P16" si="2">SUM(M13:M15)</f>
        <v>0</v>
      </c>
      <c r="N16" s="195">
        <f t="shared" si="2"/>
        <v>0</v>
      </c>
      <c r="O16" s="195">
        <f t="shared" si="2"/>
        <v>127200</v>
      </c>
      <c r="P16" s="195">
        <f t="shared" si="2"/>
        <v>0</v>
      </c>
      <c r="Q16" s="125"/>
      <c r="S16" s="85"/>
      <c r="U16" s="53" t="b">
        <f>K16=U15</f>
        <v>1</v>
      </c>
    </row>
    <row r="17" spans="2:20" s="53" customFormat="1" ht="15" customHeight="1"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S17" s="69"/>
    </row>
    <row r="18" spans="2:20" s="53" customFormat="1" ht="21" customHeight="1">
      <c r="B18" s="52"/>
      <c r="C18" s="344" t="s">
        <v>249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127"/>
      <c r="P18" s="127"/>
      <c r="Q18" s="193"/>
      <c r="R18" s="101"/>
      <c r="S18" s="101"/>
    </row>
    <row r="19" spans="2:20" s="53" customFormat="1" ht="15.75" customHeight="1">
      <c r="B19" s="52"/>
      <c r="C19" s="52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5"/>
    </row>
    <row r="20" spans="2:20" s="53" customFormat="1" ht="34.5" customHeight="1">
      <c r="B20" s="332" t="s">
        <v>188</v>
      </c>
      <c r="C20" s="332" t="s">
        <v>2</v>
      </c>
      <c r="D20" s="288" t="s">
        <v>24</v>
      </c>
      <c r="E20" s="288" t="s">
        <v>204</v>
      </c>
      <c r="F20" s="288"/>
      <c r="G20" s="288" t="s">
        <v>190</v>
      </c>
      <c r="H20" s="288"/>
      <c r="I20" s="288"/>
      <c r="J20" s="288"/>
      <c r="K20" s="288"/>
      <c r="L20" s="288"/>
      <c r="M20" s="288"/>
      <c r="N20" s="156"/>
      <c r="O20" s="156"/>
      <c r="P20" s="156"/>
      <c r="Q20" s="156"/>
      <c r="R20" s="77"/>
    </row>
    <row r="21" spans="2:20" s="53" customFormat="1" ht="90.75" customHeight="1">
      <c r="B21" s="332"/>
      <c r="C21" s="332"/>
      <c r="D21" s="288"/>
      <c r="E21" s="288"/>
      <c r="F21" s="288"/>
      <c r="G21" s="288" t="s">
        <v>191</v>
      </c>
      <c r="H21" s="288"/>
      <c r="I21" s="302" t="s">
        <v>192</v>
      </c>
      <c r="J21" s="302"/>
      <c r="K21" s="288" t="s">
        <v>193</v>
      </c>
      <c r="L21" s="333" t="s">
        <v>194</v>
      </c>
      <c r="M21" s="331"/>
      <c r="N21" s="354"/>
      <c r="O21" s="354"/>
      <c r="P21" s="196"/>
      <c r="Q21" s="197"/>
      <c r="R21" s="67"/>
      <c r="S21" s="67"/>
    </row>
    <row r="22" spans="2:20" s="53" customFormat="1" ht="39" customHeight="1">
      <c r="B22" s="332"/>
      <c r="C22" s="332"/>
      <c r="D22" s="288"/>
      <c r="E22" s="288"/>
      <c r="F22" s="288"/>
      <c r="G22" s="288"/>
      <c r="H22" s="288"/>
      <c r="I22" s="302"/>
      <c r="J22" s="302"/>
      <c r="K22" s="288"/>
      <c r="L22" s="185" t="s">
        <v>14</v>
      </c>
      <c r="M22" s="185" t="s">
        <v>195</v>
      </c>
      <c r="N22" s="196"/>
      <c r="O22" s="196"/>
      <c r="P22" s="196"/>
      <c r="Q22" s="197"/>
      <c r="R22" s="67"/>
      <c r="S22" s="67"/>
    </row>
    <row r="23" spans="2:20" s="53" customFormat="1" ht="15.75" customHeight="1">
      <c r="B23" s="90">
        <v>1</v>
      </c>
      <c r="C23" s="90">
        <v>2</v>
      </c>
      <c r="D23" s="185">
        <v>3</v>
      </c>
      <c r="E23" s="288">
        <v>4</v>
      </c>
      <c r="F23" s="288"/>
      <c r="G23" s="288">
        <v>5</v>
      </c>
      <c r="H23" s="288"/>
      <c r="I23" s="288">
        <v>6</v>
      </c>
      <c r="J23" s="288"/>
      <c r="K23" s="185">
        <v>7</v>
      </c>
      <c r="L23" s="185">
        <v>8</v>
      </c>
      <c r="M23" s="185">
        <v>9</v>
      </c>
      <c r="N23" s="196"/>
      <c r="O23" s="196"/>
      <c r="P23" s="196"/>
      <c r="Q23" s="197"/>
      <c r="R23" s="67"/>
      <c r="S23" s="67"/>
    </row>
    <row r="24" spans="2:20" s="53" customFormat="1" ht="30.75" customHeight="1">
      <c r="B24" s="66">
        <v>111</v>
      </c>
      <c r="C24" s="66" t="s">
        <v>196</v>
      </c>
      <c r="D24" s="198" t="s">
        <v>279</v>
      </c>
      <c r="E24" s="337">
        <v>100000</v>
      </c>
      <c r="F24" s="338"/>
      <c r="G24" s="329" t="s">
        <v>9</v>
      </c>
      <c r="H24" s="329"/>
      <c r="I24" s="329" t="s">
        <v>9</v>
      </c>
      <c r="J24" s="329"/>
      <c r="K24" s="47" t="s">
        <v>9</v>
      </c>
      <c r="L24" s="47" t="s">
        <v>9</v>
      </c>
      <c r="M24" s="47" t="s">
        <v>9</v>
      </c>
      <c r="N24" s="156"/>
      <c r="O24" s="156"/>
      <c r="P24" s="156"/>
      <c r="Q24" s="144" t="s">
        <v>292</v>
      </c>
      <c r="R24" s="49"/>
      <c r="S24" s="67"/>
    </row>
    <row r="25" spans="2:20" s="53" customFormat="1" ht="15.75" customHeight="1">
      <c r="B25" s="62"/>
      <c r="C25" s="339" t="s">
        <v>23</v>
      </c>
      <c r="D25" s="340"/>
      <c r="E25" s="341">
        <f>SUM(E24)</f>
        <v>100000</v>
      </c>
      <c r="F25" s="341"/>
      <c r="G25" s="341">
        <f>E25</f>
        <v>100000</v>
      </c>
      <c r="H25" s="341"/>
      <c r="I25" s="342">
        <v>0</v>
      </c>
      <c r="J25" s="342"/>
      <c r="K25" s="199">
        <v>0</v>
      </c>
      <c r="L25" s="199">
        <v>0</v>
      </c>
      <c r="M25" s="199">
        <v>0</v>
      </c>
      <c r="N25" s="156"/>
      <c r="O25" s="156"/>
      <c r="P25" s="156"/>
      <c r="Q25" s="197"/>
      <c r="R25" s="67"/>
      <c r="S25" s="67"/>
    </row>
    <row r="26" spans="2:20" s="53" customFormat="1" ht="15.75">
      <c r="B26" s="104"/>
      <c r="C26" s="104"/>
      <c r="D26" s="200"/>
      <c r="E26" s="129"/>
      <c r="F26" s="129"/>
      <c r="G26" s="129"/>
      <c r="H26" s="156"/>
      <c r="I26" s="196"/>
      <c r="J26" s="196"/>
      <c r="K26" s="196"/>
      <c r="L26" s="196"/>
      <c r="M26" s="156"/>
      <c r="N26" s="156"/>
      <c r="O26" s="156"/>
      <c r="P26" s="156"/>
      <c r="Q26" s="197"/>
      <c r="R26" s="67"/>
      <c r="S26" s="67"/>
    </row>
    <row r="27" spans="2:20" s="53" customFormat="1" ht="18.75" customHeight="1">
      <c r="B27" s="52"/>
      <c r="C27" s="281" t="s">
        <v>250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01"/>
      <c r="P27" s="201"/>
      <c r="Q27" s="125"/>
    </row>
    <row r="28" spans="2:20" s="53" customFormat="1" ht="15.75">
      <c r="B28" s="52"/>
      <c r="C28" s="52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5"/>
    </row>
    <row r="29" spans="2:20" s="53" customFormat="1" ht="36" customHeight="1">
      <c r="B29" s="332" t="s">
        <v>188</v>
      </c>
      <c r="C29" s="332" t="s">
        <v>2</v>
      </c>
      <c r="D29" s="288" t="s">
        <v>24</v>
      </c>
      <c r="E29" s="288" t="s">
        <v>201</v>
      </c>
      <c r="F29" s="288" t="s">
        <v>202</v>
      </c>
      <c r="G29" s="288" t="s">
        <v>203</v>
      </c>
      <c r="H29" s="185" t="s">
        <v>204</v>
      </c>
      <c r="I29" s="288" t="s">
        <v>190</v>
      </c>
      <c r="J29" s="288"/>
      <c r="K29" s="288"/>
      <c r="L29" s="288"/>
      <c r="M29" s="288"/>
      <c r="N29" s="288"/>
      <c r="O29" s="288"/>
      <c r="P29" s="156"/>
      <c r="Q29" s="125"/>
    </row>
    <row r="30" spans="2:20" s="53" customFormat="1" ht="87.75" customHeight="1">
      <c r="B30" s="332"/>
      <c r="C30" s="332"/>
      <c r="D30" s="288"/>
      <c r="E30" s="288"/>
      <c r="F30" s="288"/>
      <c r="G30" s="288"/>
      <c r="H30" s="288" t="s">
        <v>241</v>
      </c>
      <c r="I30" s="278" t="s">
        <v>191</v>
      </c>
      <c r="J30" s="278"/>
      <c r="K30" s="302" t="s">
        <v>192</v>
      </c>
      <c r="L30" s="302"/>
      <c r="M30" s="288" t="s">
        <v>193</v>
      </c>
      <c r="N30" s="279" t="s">
        <v>194</v>
      </c>
      <c r="O30" s="280"/>
      <c r="P30" s="196"/>
      <c r="Q30" s="335"/>
      <c r="R30" s="335"/>
      <c r="S30" s="335"/>
      <c r="T30" s="52"/>
    </row>
    <row r="31" spans="2:20" s="53" customFormat="1" ht="30.75" customHeight="1">
      <c r="B31" s="332"/>
      <c r="C31" s="332"/>
      <c r="D31" s="288"/>
      <c r="E31" s="288"/>
      <c r="F31" s="288"/>
      <c r="G31" s="288"/>
      <c r="H31" s="288"/>
      <c r="I31" s="278"/>
      <c r="J31" s="278"/>
      <c r="K31" s="302"/>
      <c r="L31" s="302"/>
      <c r="M31" s="288"/>
      <c r="N31" s="187" t="s">
        <v>14</v>
      </c>
      <c r="O31" s="187" t="s">
        <v>195</v>
      </c>
      <c r="P31" s="196"/>
      <c r="Q31" s="202"/>
      <c r="R31" s="94"/>
      <c r="S31" s="94"/>
      <c r="T31" s="52"/>
    </row>
    <row r="32" spans="2:20" s="53" customFormat="1" ht="15.75">
      <c r="B32" s="90">
        <v>1</v>
      </c>
      <c r="C32" s="90">
        <v>2</v>
      </c>
      <c r="D32" s="185">
        <v>3</v>
      </c>
      <c r="E32" s="185">
        <v>4</v>
      </c>
      <c r="F32" s="185">
        <v>5</v>
      </c>
      <c r="G32" s="185">
        <v>6</v>
      </c>
      <c r="H32" s="185">
        <v>7</v>
      </c>
      <c r="I32" s="288">
        <v>8</v>
      </c>
      <c r="J32" s="288"/>
      <c r="K32" s="288">
        <v>9</v>
      </c>
      <c r="L32" s="288"/>
      <c r="M32" s="185">
        <v>10</v>
      </c>
      <c r="N32" s="185">
        <v>11</v>
      </c>
      <c r="O32" s="185">
        <v>12</v>
      </c>
      <c r="P32" s="196"/>
      <c r="Q32" s="196"/>
      <c r="R32" s="78"/>
      <c r="S32" s="78"/>
      <c r="T32" s="52"/>
    </row>
    <row r="33" spans="2:20" s="53" customFormat="1" ht="99" hidden="1" customHeight="1">
      <c r="B33" s="66">
        <v>112</v>
      </c>
      <c r="C33" s="66" t="s">
        <v>196</v>
      </c>
      <c r="D33" s="130" t="s">
        <v>398</v>
      </c>
      <c r="E33" s="151"/>
      <c r="F33" s="47">
        <v>1</v>
      </c>
      <c r="G33" s="47">
        <v>0</v>
      </c>
      <c r="H33" s="151">
        <v>0</v>
      </c>
      <c r="I33" s="329" t="s">
        <v>9</v>
      </c>
      <c r="J33" s="329"/>
      <c r="K33" s="329" t="s">
        <v>9</v>
      </c>
      <c r="L33" s="329"/>
      <c r="M33" s="47" t="s">
        <v>9</v>
      </c>
      <c r="N33" s="47" t="s">
        <v>9</v>
      </c>
      <c r="O33" s="47" t="s">
        <v>9</v>
      </c>
      <c r="P33" s="203"/>
      <c r="Q33" s="144" t="s">
        <v>291</v>
      </c>
      <c r="R33" s="49"/>
      <c r="S33" s="76"/>
      <c r="T33" s="52"/>
    </row>
    <row r="34" spans="2:20" s="53" customFormat="1" ht="15.75">
      <c r="B34" s="62"/>
      <c r="C34" s="105"/>
      <c r="D34" s="204" t="s">
        <v>23</v>
      </c>
      <c r="E34" s="128" t="s">
        <v>9</v>
      </c>
      <c r="F34" s="128" t="s">
        <v>9</v>
      </c>
      <c r="G34" s="128" t="s">
        <v>9</v>
      </c>
      <c r="H34" s="205">
        <f>SUM(H33)</f>
        <v>0</v>
      </c>
      <c r="I34" s="327">
        <f>H34</f>
        <v>0</v>
      </c>
      <c r="J34" s="336"/>
      <c r="K34" s="327">
        <v>0</v>
      </c>
      <c r="L34" s="327"/>
      <c r="M34" s="205">
        <v>0</v>
      </c>
      <c r="N34" s="205">
        <v>0</v>
      </c>
      <c r="O34" s="205">
        <v>0</v>
      </c>
      <c r="P34" s="158"/>
      <c r="Q34" s="156"/>
      <c r="R34" s="77"/>
      <c r="S34" s="77"/>
      <c r="T34" s="52"/>
    </row>
    <row r="35" spans="2:20" s="53" customFormat="1" ht="15" customHeight="1"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</row>
    <row r="36" spans="2:20" s="53" customFormat="1" ht="34.5" customHeight="1">
      <c r="B36" s="52"/>
      <c r="C36" s="281" t="s">
        <v>251</v>
      </c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01"/>
      <c r="P36" s="201"/>
      <c r="Q36" s="125"/>
    </row>
    <row r="37" spans="2:20" s="53" customFormat="1" ht="15.75" customHeight="1">
      <c r="B37" s="52"/>
      <c r="C37" s="52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5"/>
    </row>
    <row r="38" spans="2:20" s="53" customFormat="1" ht="36" customHeight="1">
      <c r="B38" s="332" t="s">
        <v>188</v>
      </c>
      <c r="C38" s="332" t="s">
        <v>2</v>
      </c>
      <c r="D38" s="288" t="s">
        <v>24</v>
      </c>
      <c r="E38" s="288" t="s">
        <v>201</v>
      </c>
      <c r="F38" s="288" t="s">
        <v>202</v>
      </c>
      <c r="G38" s="288" t="s">
        <v>203</v>
      </c>
      <c r="H38" s="185" t="s">
        <v>204</v>
      </c>
      <c r="I38" s="288" t="s">
        <v>190</v>
      </c>
      <c r="J38" s="288"/>
      <c r="K38" s="288"/>
      <c r="L38" s="288"/>
      <c r="M38" s="288"/>
      <c r="N38" s="288"/>
      <c r="O38" s="288"/>
      <c r="P38" s="156"/>
      <c r="Q38" s="125"/>
    </row>
    <row r="39" spans="2:20" s="53" customFormat="1" ht="87" customHeight="1">
      <c r="B39" s="332"/>
      <c r="C39" s="332"/>
      <c r="D39" s="288"/>
      <c r="E39" s="288"/>
      <c r="F39" s="288"/>
      <c r="G39" s="288"/>
      <c r="H39" s="288" t="s">
        <v>241</v>
      </c>
      <c r="I39" s="278" t="s">
        <v>191</v>
      </c>
      <c r="J39" s="278"/>
      <c r="K39" s="302" t="s">
        <v>192</v>
      </c>
      <c r="L39" s="302"/>
      <c r="M39" s="288" t="s">
        <v>193</v>
      </c>
      <c r="N39" s="278" t="s">
        <v>194</v>
      </c>
      <c r="O39" s="278"/>
      <c r="P39" s="196"/>
      <c r="Q39" s="335"/>
      <c r="R39" s="335"/>
      <c r="S39" s="335"/>
      <c r="T39" s="52"/>
    </row>
    <row r="40" spans="2:20" s="53" customFormat="1" ht="30.75" customHeight="1">
      <c r="B40" s="332"/>
      <c r="C40" s="332"/>
      <c r="D40" s="288"/>
      <c r="E40" s="288"/>
      <c r="F40" s="288"/>
      <c r="G40" s="288"/>
      <c r="H40" s="288"/>
      <c r="I40" s="278"/>
      <c r="J40" s="278"/>
      <c r="K40" s="302"/>
      <c r="L40" s="302"/>
      <c r="M40" s="288"/>
      <c r="N40" s="187" t="s">
        <v>14</v>
      </c>
      <c r="O40" s="187" t="s">
        <v>195</v>
      </c>
      <c r="P40" s="196"/>
      <c r="Q40" s="202"/>
      <c r="R40" s="94"/>
      <c r="S40" s="94"/>
      <c r="T40" s="52"/>
    </row>
    <row r="41" spans="2:20" s="53" customFormat="1" ht="15.75" customHeight="1">
      <c r="B41" s="90">
        <v>1</v>
      </c>
      <c r="C41" s="90">
        <v>2</v>
      </c>
      <c r="D41" s="185">
        <v>3</v>
      </c>
      <c r="E41" s="185">
        <v>4</v>
      </c>
      <c r="F41" s="185">
        <v>5</v>
      </c>
      <c r="G41" s="185">
        <v>6</v>
      </c>
      <c r="H41" s="185">
        <v>7</v>
      </c>
      <c r="I41" s="288">
        <v>8</v>
      </c>
      <c r="J41" s="288"/>
      <c r="K41" s="288">
        <v>9</v>
      </c>
      <c r="L41" s="288"/>
      <c r="M41" s="185">
        <v>10</v>
      </c>
      <c r="N41" s="185">
        <v>11</v>
      </c>
      <c r="O41" s="185">
        <v>12</v>
      </c>
      <c r="P41" s="196"/>
      <c r="Q41" s="196"/>
      <c r="R41" s="78"/>
      <c r="S41" s="78"/>
      <c r="T41" s="52"/>
    </row>
    <row r="42" spans="2:20" s="53" customFormat="1" ht="18" customHeight="1">
      <c r="B42" s="62"/>
      <c r="C42" s="66"/>
      <c r="D42" s="206"/>
      <c r="E42" s="130"/>
      <c r="F42" s="130"/>
      <c r="G42" s="130"/>
      <c r="H42" s="130"/>
      <c r="I42" s="329" t="s">
        <v>9</v>
      </c>
      <c r="J42" s="329"/>
      <c r="K42" s="329" t="s">
        <v>9</v>
      </c>
      <c r="L42" s="329"/>
      <c r="M42" s="47" t="s">
        <v>9</v>
      </c>
      <c r="N42" s="47" t="s">
        <v>9</v>
      </c>
      <c r="O42" s="47" t="s">
        <v>9</v>
      </c>
      <c r="P42" s="203"/>
      <c r="Q42" s="129" t="s">
        <v>310</v>
      </c>
      <c r="R42" s="76"/>
      <c r="S42" s="76"/>
      <c r="T42" s="52"/>
    </row>
    <row r="43" spans="2:20" s="53" customFormat="1" ht="15.75" customHeight="1">
      <c r="B43" s="62"/>
      <c r="C43" s="105"/>
      <c r="D43" s="204" t="s">
        <v>23</v>
      </c>
      <c r="E43" s="128" t="s">
        <v>9</v>
      </c>
      <c r="F43" s="128" t="s">
        <v>9</v>
      </c>
      <c r="G43" s="128" t="s">
        <v>9</v>
      </c>
      <c r="H43" s="157"/>
      <c r="I43" s="336"/>
      <c r="J43" s="336"/>
      <c r="K43" s="336"/>
      <c r="L43" s="336"/>
      <c r="M43" s="157"/>
      <c r="N43" s="157"/>
      <c r="O43" s="157"/>
      <c r="P43" s="158"/>
      <c r="Q43" s="156"/>
      <c r="R43" s="77"/>
      <c r="S43" s="77"/>
      <c r="T43" s="52"/>
    </row>
    <row r="44" spans="2:20" s="53" customFormat="1" ht="15.75">
      <c r="B44" s="104"/>
      <c r="C44" s="77"/>
      <c r="D44" s="207"/>
      <c r="E44" s="131"/>
      <c r="F44" s="131"/>
      <c r="G44" s="131"/>
      <c r="H44" s="158"/>
      <c r="I44" s="131"/>
      <c r="J44" s="131"/>
      <c r="K44" s="131"/>
      <c r="L44" s="131"/>
      <c r="M44" s="158"/>
      <c r="N44" s="158"/>
      <c r="O44" s="156"/>
      <c r="P44" s="156"/>
      <c r="Q44" s="156"/>
      <c r="R44" s="77"/>
      <c r="S44" s="77"/>
      <c r="T44" s="52"/>
    </row>
    <row r="45" spans="2:20" s="53" customFormat="1" ht="54.75" customHeight="1">
      <c r="B45" s="52"/>
      <c r="C45" s="281" t="s">
        <v>252</v>
      </c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127"/>
      <c r="P45" s="127"/>
      <c r="Q45" s="125"/>
    </row>
    <row r="46" spans="2:20" s="53" customFormat="1" ht="15.75">
      <c r="B46" s="52"/>
      <c r="C46" s="52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5"/>
    </row>
    <row r="47" spans="2:20" s="53" customFormat="1" ht="23.25" customHeight="1">
      <c r="B47" s="332" t="s">
        <v>188</v>
      </c>
      <c r="C47" s="332" t="s">
        <v>2</v>
      </c>
      <c r="D47" s="288" t="s">
        <v>25</v>
      </c>
      <c r="E47" s="288" t="s">
        <v>206</v>
      </c>
      <c r="F47" s="288" t="s">
        <v>207</v>
      </c>
      <c r="G47" s="288" t="s">
        <v>208</v>
      </c>
      <c r="H47" s="288" t="s">
        <v>190</v>
      </c>
      <c r="I47" s="288"/>
      <c r="J47" s="288"/>
      <c r="K47" s="288"/>
      <c r="L47" s="288"/>
      <c r="M47" s="288"/>
      <c r="N47" s="288"/>
      <c r="O47" s="156"/>
      <c r="P47" s="156"/>
      <c r="Q47" s="125"/>
    </row>
    <row r="48" spans="2:20" s="53" customFormat="1" ht="84" customHeight="1">
      <c r="B48" s="332"/>
      <c r="C48" s="332"/>
      <c r="D48" s="288"/>
      <c r="E48" s="288"/>
      <c r="F48" s="288"/>
      <c r="G48" s="333"/>
      <c r="H48" s="288" t="s">
        <v>191</v>
      </c>
      <c r="I48" s="288"/>
      <c r="J48" s="334" t="s">
        <v>192</v>
      </c>
      <c r="K48" s="302"/>
      <c r="L48" s="288" t="s">
        <v>193</v>
      </c>
      <c r="M48" s="288" t="s">
        <v>194</v>
      </c>
      <c r="N48" s="288"/>
      <c r="O48" s="156"/>
      <c r="P48" s="156"/>
      <c r="Q48" s="125"/>
    </row>
    <row r="49" spans="2:21" s="53" customFormat="1" ht="36" customHeight="1">
      <c r="B49" s="332"/>
      <c r="C49" s="332"/>
      <c r="D49" s="288"/>
      <c r="E49" s="288"/>
      <c r="F49" s="288"/>
      <c r="G49" s="333"/>
      <c r="H49" s="288"/>
      <c r="I49" s="288"/>
      <c r="J49" s="334"/>
      <c r="K49" s="302"/>
      <c r="L49" s="288"/>
      <c r="M49" s="185" t="s">
        <v>14</v>
      </c>
      <c r="N49" s="185" t="s">
        <v>195</v>
      </c>
      <c r="O49" s="196"/>
      <c r="P49" s="196"/>
      <c r="Q49" s="125"/>
    </row>
    <row r="50" spans="2:21" s="53" customFormat="1" ht="15.75">
      <c r="B50" s="90">
        <v>1</v>
      </c>
      <c r="C50" s="90">
        <v>2</v>
      </c>
      <c r="D50" s="185">
        <v>3</v>
      </c>
      <c r="E50" s="185">
        <v>4</v>
      </c>
      <c r="F50" s="185">
        <v>5</v>
      </c>
      <c r="G50" s="186">
        <v>6</v>
      </c>
      <c r="H50" s="288">
        <v>7</v>
      </c>
      <c r="I50" s="288"/>
      <c r="J50" s="331">
        <v>8</v>
      </c>
      <c r="K50" s="288"/>
      <c r="L50" s="185">
        <v>9</v>
      </c>
      <c r="M50" s="185">
        <v>10</v>
      </c>
      <c r="N50" s="185">
        <v>11</v>
      </c>
      <c r="O50" s="196"/>
      <c r="P50" s="196"/>
      <c r="Q50" s="125"/>
    </row>
    <row r="51" spans="2:21" s="53" customFormat="1" ht="63">
      <c r="B51" s="113">
        <v>119</v>
      </c>
      <c r="C51" s="66" t="s">
        <v>196</v>
      </c>
      <c r="D51" s="206" t="s">
        <v>26</v>
      </c>
      <c r="E51" s="47" t="s">
        <v>9</v>
      </c>
      <c r="F51" s="47" t="s">
        <v>9</v>
      </c>
      <c r="G51" s="152">
        <f>SUM(G52:G53)</f>
        <v>6532533.6400000006</v>
      </c>
      <c r="H51" s="329" t="s">
        <v>9</v>
      </c>
      <c r="I51" s="329"/>
      <c r="J51" s="329" t="s">
        <v>9</v>
      </c>
      <c r="K51" s="329"/>
      <c r="L51" s="208" t="s">
        <v>9</v>
      </c>
      <c r="M51" s="208" t="s">
        <v>9</v>
      </c>
      <c r="N51" s="208" t="s">
        <v>9</v>
      </c>
      <c r="O51" s="129"/>
      <c r="P51" s="125"/>
      <c r="Q51" s="125"/>
      <c r="R51" s="107">
        <f>ROUND((29117.36*100/30.2),0)</f>
        <v>96415</v>
      </c>
    </row>
    <row r="52" spans="2:21" s="53" customFormat="1" ht="15.75">
      <c r="B52" s="113">
        <v>119</v>
      </c>
      <c r="C52" s="66" t="s">
        <v>27</v>
      </c>
      <c r="D52" s="206" t="s">
        <v>209</v>
      </c>
      <c r="E52" s="47">
        <v>22</v>
      </c>
      <c r="F52" s="132">
        <f>K16</f>
        <v>30319192.389999997</v>
      </c>
      <c r="G52" s="152">
        <f>ROUND((F52*22%),0)+29742-10167.99-668518.12-0.01+371097-5050.63+151178.17+780869-426500-499450-540821-13822+672543.86+21211.36</f>
        <v>6532533.6400000006</v>
      </c>
      <c r="H52" s="329" t="s">
        <v>9</v>
      </c>
      <c r="I52" s="329"/>
      <c r="J52" s="329" t="s">
        <v>9</v>
      </c>
      <c r="K52" s="329"/>
      <c r="L52" s="208" t="s">
        <v>9</v>
      </c>
      <c r="M52" s="208" t="s">
        <v>9</v>
      </c>
      <c r="N52" s="208" t="s">
        <v>9</v>
      </c>
      <c r="O52" s="129"/>
      <c r="P52" s="125"/>
      <c r="Q52" s="144" t="s">
        <v>293</v>
      </c>
      <c r="R52" s="95">
        <f>SUM(R53:R57)</f>
        <v>29117</v>
      </c>
    </row>
    <row r="53" spans="2:21" s="53" customFormat="1" ht="15.75">
      <c r="B53" s="113">
        <v>119</v>
      </c>
      <c r="C53" s="66" t="s">
        <v>28</v>
      </c>
      <c r="D53" s="206" t="s">
        <v>210</v>
      </c>
      <c r="E53" s="47">
        <v>10</v>
      </c>
      <c r="F53" s="130"/>
      <c r="G53" s="152">
        <f>ROUND((F53*22%),2)</f>
        <v>0</v>
      </c>
      <c r="H53" s="329" t="s">
        <v>9</v>
      </c>
      <c r="I53" s="329"/>
      <c r="J53" s="329" t="s">
        <v>9</v>
      </c>
      <c r="K53" s="329"/>
      <c r="L53" s="208" t="s">
        <v>9</v>
      </c>
      <c r="M53" s="208" t="s">
        <v>9</v>
      </c>
      <c r="N53" s="208" t="s">
        <v>9</v>
      </c>
      <c r="O53" s="129"/>
      <c r="P53" s="125"/>
      <c r="Q53" s="125"/>
      <c r="R53" s="98">
        <f>ROUND((R51*22%),0)</f>
        <v>21211</v>
      </c>
      <c r="T53" s="53" t="s">
        <v>355</v>
      </c>
      <c r="U53" s="53">
        <v>0</v>
      </c>
    </row>
    <row r="54" spans="2:21" s="53" customFormat="1" ht="71.25" customHeight="1">
      <c r="B54" s="113">
        <v>119</v>
      </c>
      <c r="C54" s="66" t="s">
        <v>175</v>
      </c>
      <c r="D54" s="206" t="s">
        <v>30</v>
      </c>
      <c r="E54" s="47" t="s">
        <v>9</v>
      </c>
      <c r="F54" s="47" t="s">
        <v>9</v>
      </c>
      <c r="G54" s="152">
        <f>G55+G56</f>
        <v>1003343</v>
      </c>
      <c r="H54" s="329" t="s">
        <v>9</v>
      </c>
      <c r="I54" s="329"/>
      <c r="J54" s="329" t="s">
        <v>9</v>
      </c>
      <c r="K54" s="329"/>
      <c r="L54" s="208" t="s">
        <v>9</v>
      </c>
      <c r="M54" s="208" t="s">
        <v>9</v>
      </c>
      <c r="N54" s="208" t="s">
        <v>9</v>
      </c>
      <c r="O54" s="129"/>
      <c r="P54" s="125"/>
      <c r="Q54" s="125"/>
      <c r="R54" s="108"/>
      <c r="T54" s="86" t="s">
        <v>297</v>
      </c>
      <c r="U54" s="86">
        <v>0</v>
      </c>
    </row>
    <row r="55" spans="2:21" s="53" customFormat="1" ht="102" customHeight="1">
      <c r="B55" s="113">
        <v>119</v>
      </c>
      <c r="C55" s="66" t="s">
        <v>31</v>
      </c>
      <c r="D55" s="206" t="s">
        <v>211</v>
      </c>
      <c r="E55" s="47">
        <v>2.9</v>
      </c>
      <c r="F55" s="133">
        <f>F52</f>
        <v>30319192.389999997</v>
      </c>
      <c r="G55" s="152">
        <f>ROUND((F55*2.9%),0)+3921+102933-65837-71290-1822+88654+2796</f>
        <v>938612</v>
      </c>
      <c r="H55" s="329" t="s">
        <v>9</v>
      </c>
      <c r="I55" s="329"/>
      <c r="J55" s="329" t="s">
        <v>9</v>
      </c>
      <c r="K55" s="329"/>
      <c r="L55" s="208" t="s">
        <v>9</v>
      </c>
      <c r="M55" s="208" t="s">
        <v>9</v>
      </c>
      <c r="N55" s="208" t="s">
        <v>9</v>
      </c>
      <c r="O55" s="129"/>
      <c r="P55" s="125"/>
      <c r="Q55" s="125"/>
      <c r="R55" s="98">
        <f>ROUND((R51*2.9%),0)</f>
        <v>2796</v>
      </c>
      <c r="T55" s="86" t="s">
        <v>296</v>
      </c>
      <c r="U55" s="109">
        <v>9148179.3900000006</v>
      </c>
    </row>
    <row r="56" spans="2:21" s="53" customFormat="1" ht="117.75" customHeight="1">
      <c r="B56" s="113">
        <v>119</v>
      </c>
      <c r="C56" s="66" t="s">
        <v>32</v>
      </c>
      <c r="D56" s="209" t="s">
        <v>212</v>
      </c>
      <c r="E56" s="47">
        <v>0.2</v>
      </c>
      <c r="F56" s="133">
        <f>F52</f>
        <v>30319192.389999997</v>
      </c>
      <c r="G56" s="152">
        <f>ROUND((F56*0.2%),0)+270+7099-4540-4917-126+6114+193</f>
        <v>64731</v>
      </c>
      <c r="H56" s="329" t="s">
        <v>9</v>
      </c>
      <c r="I56" s="329"/>
      <c r="J56" s="329" t="s">
        <v>9</v>
      </c>
      <c r="K56" s="329"/>
      <c r="L56" s="208" t="s">
        <v>9</v>
      </c>
      <c r="M56" s="208" t="s">
        <v>9</v>
      </c>
      <c r="N56" s="208" t="s">
        <v>9</v>
      </c>
      <c r="O56" s="129"/>
      <c r="P56" s="125"/>
      <c r="Q56" s="125"/>
      <c r="R56" s="98">
        <f>ROUND((R51*0.2%),0)</f>
        <v>193</v>
      </c>
      <c r="T56" s="86" t="s">
        <v>290</v>
      </c>
      <c r="U56" s="86">
        <v>38360</v>
      </c>
    </row>
    <row r="57" spans="2:21" s="53" customFormat="1" ht="114.75" customHeight="1">
      <c r="B57" s="113">
        <v>119</v>
      </c>
      <c r="C57" s="66" t="s">
        <v>180</v>
      </c>
      <c r="D57" s="154" t="s">
        <v>33</v>
      </c>
      <c r="E57" s="47">
        <v>5.0999999999999996</v>
      </c>
      <c r="F57" s="133">
        <f>F52</f>
        <v>30319192.389999997</v>
      </c>
      <c r="G57" s="153">
        <f>ROUND((F57*5.1%),0)+6895+181019.75-115781-125372-3203+155908+4917</f>
        <v>1650662.75</v>
      </c>
      <c r="H57" s="330" t="s">
        <v>9</v>
      </c>
      <c r="I57" s="330"/>
      <c r="J57" s="330" t="s">
        <v>9</v>
      </c>
      <c r="K57" s="330"/>
      <c r="L57" s="208" t="s">
        <v>9</v>
      </c>
      <c r="M57" s="208" t="s">
        <v>9</v>
      </c>
      <c r="N57" s="208" t="s">
        <v>9</v>
      </c>
      <c r="O57" s="129"/>
      <c r="P57" s="125"/>
      <c r="Q57" s="125"/>
      <c r="R57" s="98">
        <f>ROUND((R51*5.1%),0)</f>
        <v>4917</v>
      </c>
      <c r="T57" s="86" t="s">
        <v>7</v>
      </c>
      <c r="U57" s="117">
        <f>SUM(U52:U56)</f>
        <v>9186539.3900000006</v>
      </c>
    </row>
    <row r="58" spans="2:21" s="53" customFormat="1" ht="15.75">
      <c r="B58" s="62"/>
      <c r="C58" s="106"/>
      <c r="D58" s="210" t="s">
        <v>23</v>
      </c>
      <c r="E58" s="128" t="s">
        <v>9</v>
      </c>
      <c r="F58" s="128" t="s">
        <v>9</v>
      </c>
      <c r="G58" s="195">
        <f>G57+G54+G51</f>
        <v>9186539.3900000006</v>
      </c>
      <c r="H58" s="326">
        <f>U54+U55</f>
        <v>9148179.3900000006</v>
      </c>
      <c r="I58" s="326"/>
      <c r="J58" s="327">
        <f>U53</f>
        <v>0</v>
      </c>
      <c r="K58" s="327"/>
      <c r="L58" s="205">
        <v>0</v>
      </c>
      <c r="M58" s="205">
        <f>U56</f>
        <v>38360</v>
      </c>
      <c r="N58" s="205">
        <v>0</v>
      </c>
      <c r="O58" s="156"/>
      <c r="P58" s="156"/>
      <c r="Q58" s="211">
        <f>H58+J58+L58+M58</f>
        <v>9186539.3900000006</v>
      </c>
      <c r="R58" s="82"/>
      <c r="S58" s="69">
        <f>Q58-G58</f>
        <v>0</v>
      </c>
      <c r="U58" s="53" t="b">
        <f>G58=U57</f>
        <v>1</v>
      </c>
    </row>
    <row r="59" spans="2:21" s="53" customFormat="1" ht="15" customHeight="1"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93"/>
      <c r="O59" s="125"/>
      <c r="P59" s="125"/>
      <c r="Q59" s="125" t="b">
        <f>G58=Q58</f>
        <v>1</v>
      </c>
      <c r="U59" s="69">
        <f>U57-G58</f>
        <v>0</v>
      </c>
    </row>
    <row r="60" spans="2:21" s="53" customFormat="1" ht="36" customHeight="1">
      <c r="B60" s="328" t="s">
        <v>213</v>
      </c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197"/>
      <c r="O60" s="212"/>
      <c r="P60" s="212"/>
      <c r="Q60" s="212"/>
      <c r="R60" s="111"/>
    </row>
    <row r="61" spans="2:21" s="53" customFormat="1" ht="15" customHeight="1"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</row>
    <row r="62" spans="2:21" s="53" customFormat="1" ht="24" customHeight="1">
      <c r="B62" s="52"/>
      <c r="C62" s="281" t="s">
        <v>247</v>
      </c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127"/>
      <c r="O62" s="127"/>
      <c r="P62" s="127"/>
      <c r="Q62" s="125"/>
    </row>
    <row r="63" spans="2:21" s="53" customFormat="1" ht="15.75" customHeight="1">
      <c r="B63" s="52"/>
      <c r="C63" s="52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5"/>
    </row>
    <row r="64" spans="2:21" s="53" customFormat="1" ht="38.25" customHeight="1">
      <c r="B64" s="295" t="s">
        <v>188</v>
      </c>
      <c r="C64" s="295" t="s">
        <v>2</v>
      </c>
      <c r="D64" s="278" t="s">
        <v>3</v>
      </c>
      <c r="E64" s="278" t="s">
        <v>214</v>
      </c>
      <c r="F64" s="278" t="s">
        <v>215</v>
      </c>
      <c r="G64" s="187" t="s">
        <v>216</v>
      </c>
      <c r="H64" s="278" t="s">
        <v>190</v>
      </c>
      <c r="I64" s="278"/>
      <c r="J64" s="278"/>
      <c r="K64" s="278"/>
      <c r="L64" s="278"/>
      <c r="M64" s="278"/>
      <c r="N64" s="278"/>
      <c r="O64" s="213"/>
      <c r="P64" s="213"/>
      <c r="Q64" s="213"/>
      <c r="R64" s="57"/>
    </row>
    <row r="65" spans="2:18" s="53" customFormat="1" ht="84" customHeight="1">
      <c r="B65" s="295"/>
      <c r="C65" s="295"/>
      <c r="D65" s="278"/>
      <c r="E65" s="278"/>
      <c r="F65" s="278"/>
      <c r="G65" s="278" t="s">
        <v>236</v>
      </c>
      <c r="H65" s="278" t="s">
        <v>191</v>
      </c>
      <c r="I65" s="278"/>
      <c r="J65" s="302" t="s">
        <v>192</v>
      </c>
      <c r="K65" s="302"/>
      <c r="L65" s="288" t="s">
        <v>193</v>
      </c>
      <c r="M65" s="288" t="s">
        <v>194</v>
      </c>
      <c r="N65" s="288"/>
      <c r="O65" s="213"/>
      <c r="P65" s="213"/>
      <c r="Q65" s="213"/>
      <c r="R65" s="57"/>
    </row>
    <row r="66" spans="2:18" s="53" customFormat="1" ht="35.25" customHeight="1">
      <c r="B66" s="295"/>
      <c r="C66" s="295"/>
      <c r="D66" s="278"/>
      <c r="E66" s="278"/>
      <c r="F66" s="278"/>
      <c r="G66" s="278"/>
      <c r="H66" s="278"/>
      <c r="I66" s="278"/>
      <c r="J66" s="302"/>
      <c r="K66" s="302"/>
      <c r="L66" s="288"/>
      <c r="M66" s="185" t="s">
        <v>14</v>
      </c>
      <c r="N66" s="185" t="s">
        <v>195</v>
      </c>
      <c r="O66" s="202"/>
      <c r="P66" s="202"/>
      <c r="Q66" s="214"/>
      <c r="R66" s="58"/>
    </row>
    <row r="67" spans="2:18" s="53" customFormat="1" ht="15.75" customHeight="1">
      <c r="B67" s="91">
        <v>1</v>
      </c>
      <c r="C67" s="91">
        <v>2</v>
      </c>
      <c r="D67" s="187">
        <v>3</v>
      </c>
      <c r="E67" s="187">
        <v>4</v>
      </c>
      <c r="F67" s="187">
        <v>5</v>
      </c>
      <c r="G67" s="187">
        <v>6</v>
      </c>
      <c r="H67" s="278">
        <v>7</v>
      </c>
      <c r="I67" s="278"/>
      <c r="J67" s="278">
        <v>8</v>
      </c>
      <c r="K67" s="278"/>
      <c r="L67" s="185">
        <v>9</v>
      </c>
      <c r="M67" s="185">
        <v>10</v>
      </c>
      <c r="N67" s="185">
        <v>11</v>
      </c>
      <c r="O67" s="202"/>
      <c r="P67" s="202"/>
      <c r="Q67" s="214"/>
      <c r="R67" s="58"/>
    </row>
    <row r="68" spans="2:18" s="53" customFormat="1" ht="15.75" customHeight="1">
      <c r="B68" s="79"/>
      <c r="C68" s="59"/>
      <c r="D68" s="154"/>
      <c r="E68" s="134"/>
      <c r="F68" s="134"/>
      <c r="G68" s="134"/>
      <c r="H68" s="273" t="s">
        <v>9</v>
      </c>
      <c r="I68" s="273"/>
      <c r="J68" s="273" t="s">
        <v>9</v>
      </c>
      <c r="K68" s="273"/>
      <c r="L68" s="47" t="s">
        <v>9</v>
      </c>
      <c r="M68" s="47" t="s">
        <v>9</v>
      </c>
      <c r="N68" s="47" t="s">
        <v>9</v>
      </c>
      <c r="O68" s="215"/>
      <c r="P68" s="215"/>
      <c r="Q68" s="214"/>
      <c r="R68" s="58"/>
    </row>
    <row r="69" spans="2:18" s="53" customFormat="1" ht="15.75">
      <c r="B69" s="92"/>
      <c r="C69" s="54"/>
      <c r="D69" s="216" t="s">
        <v>23</v>
      </c>
      <c r="E69" s="135" t="s">
        <v>9</v>
      </c>
      <c r="F69" s="135" t="s">
        <v>9</v>
      </c>
      <c r="G69" s="135"/>
      <c r="H69" s="284"/>
      <c r="I69" s="284"/>
      <c r="J69" s="284"/>
      <c r="K69" s="284"/>
      <c r="L69" s="128"/>
      <c r="M69" s="128"/>
      <c r="N69" s="128"/>
      <c r="O69" s="213"/>
      <c r="P69" s="213"/>
      <c r="Q69" s="214"/>
      <c r="R69" s="58"/>
    </row>
    <row r="70" spans="2:18" s="53" customFormat="1" ht="15" customHeight="1"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93"/>
      <c r="O70" s="125"/>
      <c r="P70" s="125"/>
      <c r="Q70" s="125"/>
    </row>
    <row r="71" spans="2:18" s="53" customFormat="1" ht="24" customHeight="1">
      <c r="B71" s="52"/>
      <c r="C71" s="281" t="s">
        <v>245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127"/>
      <c r="P71" s="127"/>
      <c r="Q71" s="125"/>
    </row>
    <row r="72" spans="2:18" s="53" customFormat="1" ht="5.25" customHeight="1">
      <c r="B72" s="52"/>
      <c r="C72" s="52"/>
      <c r="D72" s="127"/>
      <c r="E72" s="127"/>
      <c r="F72" s="126"/>
      <c r="G72" s="126"/>
      <c r="H72" s="126"/>
      <c r="I72" s="126"/>
      <c r="J72" s="126"/>
      <c r="K72" s="126"/>
      <c r="L72" s="126"/>
      <c r="M72" s="126"/>
      <c r="N72" s="127"/>
      <c r="O72" s="127"/>
      <c r="P72" s="127"/>
      <c r="Q72" s="125"/>
    </row>
    <row r="73" spans="2:18" s="53" customFormat="1" ht="21.75" customHeight="1">
      <c r="B73" s="52"/>
      <c r="C73" s="281" t="s">
        <v>253</v>
      </c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127"/>
      <c r="P73" s="127"/>
      <c r="Q73" s="125"/>
    </row>
    <row r="74" spans="2:18" s="53" customFormat="1" ht="15.75" customHeight="1">
      <c r="B74" s="52"/>
      <c r="C74" s="52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5"/>
    </row>
    <row r="75" spans="2:18" s="53" customFormat="1" ht="21" customHeight="1">
      <c r="B75" s="295" t="s">
        <v>188</v>
      </c>
      <c r="C75" s="295" t="s">
        <v>2</v>
      </c>
      <c r="D75" s="278" t="s">
        <v>24</v>
      </c>
      <c r="E75" s="296" t="s">
        <v>217</v>
      </c>
      <c r="F75" s="297"/>
      <c r="G75" s="278" t="s">
        <v>218</v>
      </c>
      <c r="H75" s="305" t="s">
        <v>246</v>
      </c>
      <c r="I75" s="278" t="s">
        <v>190</v>
      </c>
      <c r="J75" s="278"/>
      <c r="K75" s="278"/>
      <c r="L75" s="278"/>
      <c r="M75" s="278"/>
      <c r="N75" s="278"/>
      <c r="O75" s="278"/>
      <c r="P75" s="213"/>
      <c r="Q75" s="213"/>
      <c r="R75" s="57"/>
    </row>
    <row r="76" spans="2:18" s="53" customFormat="1" ht="81" customHeight="1">
      <c r="B76" s="295"/>
      <c r="C76" s="295"/>
      <c r="D76" s="278"/>
      <c r="E76" s="298"/>
      <c r="F76" s="299"/>
      <c r="G76" s="278"/>
      <c r="H76" s="306"/>
      <c r="I76" s="278" t="s">
        <v>191</v>
      </c>
      <c r="J76" s="278"/>
      <c r="K76" s="302" t="s">
        <v>192</v>
      </c>
      <c r="L76" s="302"/>
      <c r="M76" s="288" t="s">
        <v>193</v>
      </c>
      <c r="N76" s="288" t="s">
        <v>194</v>
      </c>
      <c r="O76" s="288"/>
      <c r="P76" s="196"/>
      <c r="Q76" s="213"/>
      <c r="R76" s="57"/>
    </row>
    <row r="77" spans="2:18" s="53" customFormat="1" ht="31.5">
      <c r="B77" s="295"/>
      <c r="C77" s="295"/>
      <c r="D77" s="278"/>
      <c r="E77" s="300"/>
      <c r="F77" s="301"/>
      <c r="G77" s="278"/>
      <c r="H77" s="188" t="s">
        <v>236</v>
      </c>
      <c r="I77" s="278"/>
      <c r="J77" s="278"/>
      <c r="K77" s="302"/>
      <c r="L77" s="302"/>
      <c r="M77" s="288"/>
      <c r="N77" s="185" t="s">
        <v>14</v>
      </c>
      <c r="O77" s="185" t="s">
        <v>195</v>
      </c>
      <c r="P77" s="196"/>
      <c r="Q77" s="202"/>
      <c r="R77" s="94"/>
    </row>
    <row r="78" spans="2:18" s="53" customFormat="1" ht="15.75" customHeight="1">
      <c r="B78" s="91">
        <v>1</v>
      </c>
      <c r="C78" s="91">
        <v>2</v>
      </c>
      <c r="D78" s="187">
        <v>3</v>
      </c>
      <c r="E78" s="217">
        <v>4</v>
      </c>
      <c r="F78" s="136"/>
      <c r="G78" s="187">
        <v>5</v>
      </c>
      <c r="H78" s="189">
        <v>7</v>
      </c>
      <c r="I78" s="278">
        <v>8</v>
      </c>
      <c r="J78" s="278"/>
      <c r="K78" s="278">
        <v>9</v>
      </c>
      <c r="L78" s="278"/>
      <c r="M78" s="185">
        <v>10</v>
      </c>
      <c r="N78" s="185">
        <v>11</v>
      </c>
      <c r="O78" s="185">
        <v>12</v>
      </c>
      <c r="P78" s="196"/>
      <c r="Q78" s="202"/>
      <c r="R78" s="94"/>
    </row>
    <row r="79" spans="2:18" s="53" customFormat="1" ht="31.5">
      <c r="B79" s="92">
        <v>851</v>
      </c>
      <c r="C79" s="92" t="s">
        <v>196</v>
      </c>
      <c r="D79" s="140" t="s">
        <v>264</v>
      </c>
      <c r="E79" s="324">
        <f>ROUND((H79*100/G79),0)</f>
        <v>12721500</v>
      </c>
      <c r="F79" s="325"/>
      <c r="G79" s="134">
        <v>2.2000000000000002</v>
      </c>
      <c r="H79" s="159">
        <v>279873</v>
      </c>
      <c r="I79" s="303" t="s">
        <v>9</v>
      </c>
      <c r="J79" s="304"/>
      <c r="K79" s="303" t="s">
        <v>9</v>
      </c>
      <c r="L79" s="304"/>
      <c r="M79" s="218" t="s">
        <v>9</v>
      </c>
      <c r="N79" s="134" t="s">
        <v>9</v>
      </c>
      <c r="O79" s="134" t="s">
        <v>9</v>
      </c>
      <c r="P79" s="125"/>
      <c r="Q79" s="125">
        <f>E79*G79%</f>
        <v>279873</v>
      </c>
    </row>
    <row r="80" spans="2:18" s="53" customFormat="1" ht="15.75">
      <c r="B80" s="92">
        <v>851</v>
      </c>
      <c r="C80" s="92" t="s">
        <v>175</v>
      </c>
      <c r="D80" s="140" t="s">
        <v>265</v>
      </c>
      <c r="E80" s="303">
        <v>18417029</v>
      </c>
      <c r="F80" s="304"/>
      <c r="G80" s="134">
        <v>1.5</v>
      </c>
      <c r="H80" s="159">
        <v>0</v>
      </c>
      <c r="I80" s="303" t="s">
        <v>9</v>
      </c>
      <c r="J80" s="304"/>
      <c r="K80" s="303" t="s">
        <v>9</v>
      </c>
      <c r="L80" s="304"/>
      <c r="M80" s="218" t="s">
        <v>9</v>
      </c>
      <c r="N80" s="134" t="s">
        <v>9</v>
      </c>
      <c r="O80" s="134" t="s">
        <v>9</v>
      </c>
      <c r="P80" s="125"/>
      <c r="Q80" s="125"/>
    </row>
    <row r="81" spans="2:18" s="53" customFormat="1" ht="15.75">
      <c r="B81" s="92"/>
      <c r="C81" s="54"/>
      <c r="D81" s="216" t="s">
        <v>23</v>
      </c>
      <c r="E81" s="321" t="s">
        <v>9</v>
      </c>
      <c r="F81" s="322"/>
      <c r="G81" s="135" t="s">
        <v>9</v>
      </c>
      <c r="H81" s="219">
        <f>SUM(H79:H80)</f>
        <v>279873</v>
      </c>
      <c r="I81" s="283">
        <f>H81</f>
        <v>279873</v>
      </c>
      <c r="J81" s="284"/>
      <c r="K81" s="283">
        <v>0</v>
      </c>
      <c r="L81" s="283"/>
      <c r="M81" s="205">
        <v>0</v>
      </c>
      <c r="N81" s="205">
        <v>0</v>
      </c>
      <c r="O81" s="205">
        <v>0</v>
      </c>
      <c r="P81" s="220"/>
      <c r="Q81" s="144" t="s">
        <v>311</v>
      </c>
      <c r="R81" s="56"/>
    </row>
    <row r="82" spans="2:18" s="53" customFormat="1" ht="15" customHeight="1"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93"/>
      <c r="P82" s="193"/>
      <c r="Q82" s="193"/>
      <c r="R82" s="101"/>
    </row>
    <row r="83" spans="2:18" s="53" customFormat="1" ht="21" customHeight="1">
      <c r="B83" s="52"/>
      <c r="C83" s="281" t="s">
        <v>254</v>
      </c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127"/>
      <c r="O83" s="127"/>
      <c r="P83" s="127"/>
      <c r="Q83" s="125"/>
    </row>
    <row r="84" spans="2:18" s="53" customFormat="1" ht="15.75" customHeight="1">
      <c r="B84" s="52"/>
      <c r="C84" s="52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5"/>
    </row>
    <row r="85" spans="2:18" s="53" customFormat="1" ht="31.5" customHeight="1">
      <c r="B85" s="295" t="s">
        <v>188</v>
      </c>
      <c r="C85" s="295" t="s">
        <v>2</v>
      </c>
      <c r="D85" s="278" t="s">
        <v>24</v>
      </c>
      <c r="E85" s="305" t="s">
        <v>219</v>
      </c>
      <c r="F85" s="278" t="s">
        <v>190</v>
      </c>
      <c r="G85" s="278"/>
      <c r="H85" s="278"/>
      <c r="I85" s="278"/>
      <c r="J85" s="278"/>
      <c r="K85" s="278"/>
      <c r="L85" s="278"/>
      <c r="M85" s="213"/>
      <c r="N85" s="213"/>
      <c r="O85" s="213"/>
      <c r="P85" s="213"/>
      <c r="Q85" s="125"/>
    </row>
    <row r="86" spans="2:18" s="53" customFormat="1" ht="99" customHeight="1">
      <c r="B86" s="295"/>
      <c r="C86" s="295"/>
      <c r="D86" s="278"/>
      <c r="E86" s="317"/>
      <c r="F86" s="278" t="s">
        <v>191</v>
      </c>
      <c r="G86" s="278"/>
      <c r="H86" s="302" t="s">
        <v>192</v>
      </c>
      <c r="I86" s="302"/>
      <c r="J86" s="288" t="s">
        <v>193</v>
      </c>
      <c r="K86" s="288" t="s">
        <v>194</v>
      </c>
      <c r="L86" s="288"/>
      <c r="M86" s="213"/>
      <c r="N86" s="320"/>
      <c r="O86" s="320"/>
      <c r="P86" s="202"/>
      <c r="Q86" s="125"/>
    </row>
    <row r="87" spans="2:18" s="53" customFormat="1" ht="31.5">
      <c r="B87" s="295"/>
      <c r="C87" s="295"/>
      <c r="D87" s="278"/>
      <c r="E87" s="306"/>
      <c r="F87" s="278"/>
      <c r="G87" s="278"/>
      <c r="H87" s="302"/>
      <c r="I87" s="302"/>
      <c r="J87" s="288"/>
      <c r="K87" s="185" t="s">
        <v>14</v>
      </c>
      <c r="L87" s="185" t="s">
        <v>195</v>
      </c>
      <c r="M87" s="213"/>
      <c r="N87" s="202"/>
      <c r="O87" s="202"/>
      <c r="P87" s="202"/>
      <c r="Q87" s="125"/>
    </row>
    <row r="88" spans="2:18" s="53" customFormat="1" ht="15.75" customHeight="1">
      <c r="B88" s="91">
        <v>1</v>
      </c>
      <c r="C88" s="91">
        <v>2</v>
      </c>
      <c r="D88" s="187">
        <v>3</v>
      </c>
      <c r="E88" s="187">
        <v>4</v>
      </c>
      <c r="F88" s="278">
        <v>5</v>
      </c>
      <c r="G88" s="278"/>
      <c r="H88" s="278">
        <v>6</v>
      </c>
      <c r="I88" s="278"/>
      <c r="J88" s="185">
        <v>7</v>
      </c>
      <c r="K88" s="185">
        <v>8</v>
      </c>
      <c r="L88" s="185">
        <v>9</v>
      </c>
      <c r="M88" s="213"/>
      <c r="N88" s="202"/>
      <c r="O88" s="202"/>
      <c r="P88" s="202"/>
      <c r="Q88" s="125"/>
    </row>
    <row r="89" spans="2:18" s="53" customFormat="1" ht="15.75">
      <c r="B89" s="74"/>
      <c r="C89" s="96"/>
      <c r="D89" s="140"/>
      <c r="E89" s="137"/>
      <c r="F89" s="313" t="s">
        <v>9</v>
      </c>
      <c r="G89" s="313"/>
      <c r="H89" s="313" t="s">
        <v>9</v>
      </c>
      <c r="I89" s="313"/>
      <c r="J89" s="47" t="s">
        <v>9</v>
      </c>
      <c r="K89" s="47" t="s">
        <v>9</v>
      </c>
      <c r="L89" s="47" t="s">
        <v>9</v>
      </c>
      <c r="M89" s="213"/>
      <c r="N89" s="215"/>
      <c r="O89" s="215"/>
      <c r="P89" s="215"/>
      <c r="Q89" s="125"/>
    </row>
    <row r="90" spans="2:18" s="53" customFormat="1" ht="15.75" customHeight="1">
      <c r="B90" s="74"/>
      <c r="C90" s="60"/>
      <c r="D90" s="216" t="s">
        <v>23</v>
      </c>
      <c r="E90" s="221">
        <f>SUM(E89)</f>
        <v>0</v>
      </c>
      <c r="F90" s="318">
        <f>E90</f>
        <v>0</v>
      </c>
      <c r="G90" s="319"/>
      <c r="H90" s="314">
        <v>0</v>
      </c>
      <c r="I90" s="314"/>
      <c r="J90" s="205">
        <v>0</v>
      </c>
      <c r="K90" s="205">
        <v>0</v>
      </c>
      <c r="L90" s="205">
        <v>0</v>
      </c>
      <c r="M90" s="213"/>
      <c r="N90" s="213"/>
      <c r="O90" s="213"/>
      <c r="P90" s="213"/>
      <c r="Q90" s="144" t="s">
        <v>312</v>
      </c>
    </row>
    <row r="91" spans="2:18" s="53" customFormat="1" ht="15.75">
      <c r="B91" s="52"/>
      <c r="C91" s="52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5"/>
    </row>
    <row r="92" spans="2:18" s="53" customFormat="1" ht="15.75" customHeight="1">
      <c r="B92" s="52"/>
      <c r="C92" s="323" t="s">
        <v>255</v>
      </c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127"/>
      <c r="O92" s="127"/>
      <c r="P92" s="127"/>
      <c r="Q92" s="125"/>
    </row>
    <row r="93" spans="2:18" s="53" customFormat="1" ht="15.75">
      <c r="B93" s="52"/>
      <c r="C93" s="52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5"/>
    </row>
    <row r="94" spans="2:18" s="53" customFormat="1" ht="31.5" customHeight="1">
      <c r="B94" s="295" t="s">
        <v>188</v>
      </c>
      <c r="C94" s="295" t="s">
        <v>2</v>
      </c>
      <c r="D94" s="278" t="s">
        <v>24</v>
      </c>
      <c r="E94" s="305" t="s">
        <v>219</v>
      </c>
      <c r="F94" s="278" t="s">
        <v>190</v>
      </c>
      <c r="G94" s="278"/>
      <c r="H94" s="278"/>
      <c r="I94" s="278"/>
      <c r="J94" s="278"/>
      <c r="K94" s="278"/>
      <c r="L94" s="278"/>
      <c r="M94" s="213"/>
      <c r="N94" s="213"/>
      <c r="O94" s="213"/>
      <c r="P94" s="213"/>
      <c r="Q94" s="125"/>
    </row>
    <row r="95" spans="2:18" s="53" customFormat="1" ht="99" customHeight="1">
      <c r="B95" s="295"/>
      <c r="C95" s="295"/>
      <c r="D95" s="278"/>
      <c r="E95" s="317"/>
      <c r="F95" s="278" t="s">
        <v>191</v>
      </c>
      <c r="G95" s="278"/>
      <c r="H95" s="302" t="s">
        <v>192</v>
      </c>
      <c r="I95" s="302"/>
      <c r="J95" s="288" t="s">
        <v>193</v>
      </c>
      <c r="K95" s="288" t="s">
        <v>194</v>
      </c>
      <c r="L95" s="288"/>
      <c r="M95" s="213"/>
      <c r="N95" s="320"/>
      <c r="O95" s="320"/>
      <c r="P95" s="202"/>
      <c r="Q95" s="125"/>
    </row>
    <row r="96" spans="2:18" s="53" customFormat="1" ht="31.5" customHeight="1">
      <c r="B96" s="295"/>
      <c r="C96" s="295"/>
      <c r="D96" s="278"/>
      <c r="E96" s="306"/>
      <c r="F96" s="278"/>
      <c r="G96" s="278"/>
      <c r="H96" s="302"/>
      <c r="I96" s="302"/>
      <c r="J96" s="288"/>
      <c r="K96" s="185" t="s">
        <v>14</v>
      </c>
      <c r="L96" s="185" t="s">
        <v>195</v>
      </c>
      <c r="M96" s="213"/>
      <c r="N96" s="202"/>
      <c r="O96" s="202"/>
      <c r="P96" s="202"/>
      <c r="Q96" s="144" t="s">
        <v>313</v>
      </c>
    </row>
    <row r="97" spans="2:19" s="53" customFormat="1" ht="15.75">
      <c r="B97" s="91">
        <v>1</v>
      </c>
      <c r="C97" s="91">
        <v>2</v>
      </c>
      <c r="D97" s="187">
        <v>3</v>
      </c>
      <c r="E97" s="187">
        <v>4</v>
      </c>
      <c r="F97" s="278">
        <v>5</v>
      </c>
      <c r="G97" s="278"/>
      <c r="H97" s="278">
        <v>6</v>
      </c>
      <c r="I97" s="278"/>
      <c r="J97" s="185">
        <v>7</v>
      </c>
      <c r="K97" s="185">
        <v>8</v>
      </c>
      <c r="L97" s="185">
        <v>9</v>
      </c>
      <c r="M97" s="213"/>
      <c r="N97" s="202"/>
      <c r="O97" s="202"/>
      <c r="P97" s="202"/>
      <c r="Q97" s="125"/>
    </row>
    <row r="98" spans="2:19" s="53" customFormat="1" ht="34.5" hidden="1" customHeight="1">
      <c r="B98" s="92">
        <v>853</v>
      </c>
      <c r="C98" s="92" t="s">
        <v>196</v>
      </c>
      <c r="D98" s="222" t="s">
        <v>417</v>
      </c>
      <c r="E98" s="141">
        <v>0</v>
      </c>
      <c r="F98" s="313" t="s">
        <v>9</v>
      </c>
      <c r="G98" s="313"/>
      <c r="H98" s="313" t="s">
        <v>9</v>
      </c>
      <c r="I98" s="313"/>
      <c r="J98" s="47" t="s">
        <v>9</v>
      </c>
      <c r="K98" s="47" t="s">
        <v>9</v>
      </c>
      <c r="L98" s="47" t="s">
        <v>9</v>
      </c>
      <c r="M98" s="213"/>
      <c r="N98" s="215"/>
      <c r="O98" s="215"/>
      <c r="P98" s="215"/>
      <c r="Q98" s="144" t="s">
        <v>294</v>
      </c>
      <c r="R98" s="49"/>
      <c r="S98" s="75">
        <f>E99+E90+H81</f>
        <v>279873</v>
      </c>
    </row>
    <row r="99" spans="2:19" s="53" customFormat="1" ht="15.75">
      <c r="B99" s="92"/>
      <c r="C99" s="60"/>
      <c r="D99" s="216" t="s">
        <v>23</v>
      </c>
      <c r="E99" s="221">
        <f>SUM(E98)</f>
        <v>0</v>
      </c>
      <c r="F99" s="318">
        <v>0</v>
      </c>
      <c r="G99" s="319"/>
      <c r="H99" s="314">
        <v>0</v>
      </c>
      <c r="I99" s="314"/>
      <c r="J99" s="205">
        <v>0</v>
      </c>
      <c r="K99" s="205">
        <f>E99</f>
        <v>0</v>
      </c>
      <c r="L99" s="205">
        <v>0</v>
      </c>
      <c r="M99" s="213"/>
      <c r="N99" s="213"/>
      <c r="O99" s="213"/>
      <c r="P99" s="213"/>
      <c r="Q99" s="125"/>
    </row>
    <row r="100" spans="2:19" s="53" customFormat="1" ht="15" customHeight="1">
      <c r="D100" s="125"/>
      <c r="E100" s="125"/>
      <c r="F100" s="125"/>
      <c r="G100" s="125"/>
      <c r="H100" s="125"/>
      <c r="I100" s="125"/>
      <c r="J100" s="125"/>
      <c r="K100" s="125"/>
      <c r="L100" s="193"/>
      <c r="M100" s="125"/>
      <c r="N100" s="125"/>
      <c r="O100" s="125"/>
      <c r="P100" s="125"/>
      <c r="Q100" s="125"/>
    </row>
    <row r="101" spans="2:19" s="53" customFormat="1" ht="24.75" customHeight="1">
      <c r="B101" s="52"/>
      <c r="C101" s="281" t="s">
        <v>280</v>
      </c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127"/>
      <c r="O101" s="127"/>
      <c r="P101" s="125"/>
      <c r="Q101" s="125"/>
    </row>
    <row r="102" spans="2:19" s="53" customFormat="1" ht="7.5" customHeight="1">
      <c r="B102" s="52"/>
      <c r="C102" s="52"/>
      <c r="D102" s="127"/>
      <c r="E102" s="126"/>
      <c r="F102" s="126"/>
      <c r="G102" s="126"/>
      <c r="H102" s="126"/>
      <c r="I102" s="126"/>
      <c r="J102" s="126"/>
      <c r="K102" s="126"/>
      <c r="L102" s="126"/>
      <c r="M102" s="126"/>
      <c r="N102" s="127"/>
      <c r="O102" s="127"/>
      <c r="P102" s="125"/>
      <c r="Q102" s="125"/>
    </row>
    <row r="103" spans="2:19" s="53" customFormat="1" ht="23.25" customHeight="1">
      <c r="B103" s="52"/>
      <c r="C103" s="281" t="s">
        <v>281</v>
      </c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127"/>
      <c r="O103" s="127"/>
      <c r="P103" s="125"/>
      <c r="Q103" s="125"/>
    </row>
    <row r="104" spans="2:19" s="53" customFormat="1" ht="15.75">
      <c r="B104" s="52"/>
      <c r="C104" s="52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5"/>
      <c r="Q104" s="125"/>
    </row>
    <row r="105" spans="2:19" s="53" customFormat="1" ht="31.5" customHeight="1">
      <c r="B105" s="295" t="s">
        <v>188</v>
      </c>
      <c r="C105" s="295" t="s">
        <v>2</v>
      </c>
      <c r="D105" s="278" t="s">
        <v>3</v>
      </c>
      <c r="E105" s="278" t="s">
        <v>220</v>
      </c>
      <c r="F105" s="278" t="s">
        <v>221</v>
      </c>
      <c r="G105" s="187" t="s">
        <v>222</v>
      </c>
      <c r="H105" s="278" t="s">
        <v>190</v>
      </c>
      <c r="I105" s="278"/>
      <c r="J105" s="278"/>
      <c r="K105" s="278"/>
      <c r="L105" s="278"/>
      <c r="M105" s="278"/>
      <c r="N105" s="278"/>
      <c r="O105" s="278"/>
      <c r="P105" s="125"/>
      <c r="Q105" s="125"/>
    </row>
    <row r="106" spans="2:19" s="53" customFormat="1" ht="99" customHeight="1">
      <c r="B106" s="295"/>
      <c r="C106" s="295"/>
      <c r="D106" s="278"/>
      <c r="E106" s="278"/>
      <c r="F106" s="278"/>
      <c r="G106" s="278" t="s">
        <v>236</v>
      </c>
      <c r="H106" s="278" t="s">
        <v>191</v>
      </c>
      <c r="I106" s="278"/>
      <c r="J106" s="302" t="s">
        <v>192</v>
      </c>
      <c r="K106" s="302"/>
      <c r="L106" s="278" t="s">
        <v>193</v>
      </c>
      <c r="M106" s="278"/>
      <c r="N106" s="278" t="s">
        <v>194</v>
      </c>
      <c r="O106" s="278"/>
      <c r="P106" s="125"/>
      <c r="Q106" s="125"/>
    </row>
    <row r="107" spans="2:19" s="53" customFormat="1" ht="31.5">
      <c r="B107" s="295"/>
      <c r="C107" s="295"/>
      <c r="D107" s="278"/>
      <c r="E107" s="278"/>
      <c r="F107" s="278"/>
      <c r="G107" s="278"/>
      <c r="H107" s="278"/>
      <c r="I107" s="278"/>
      <c r="J107" s="302"/>
      <c r="K107" s="302"/>
      <c r="L107" s="278"/>
      <c r="M107" s="278"/>
      <c r="N107" s="187" t="s">
        <v>14</v>
      </c>
      <c r="O107" s="187" t="s">
        <v>195</v>
      </c>
      <c r="P107" s="125"/>
      <c r="Q107" s="125"/>
    </row>
    <row r="108" spans="2:19" s="53" customFormat="1" ht="15.75">
      <c r="B108" s="91">
        <v>1</v>
      </c>
      <c r="C108" s="91">
        <v>2</v>
      </c>
      <c r="D108" s="187">
        <v>3</v>
      </c>
      <c r="E108" s="187">
        <v>4</v>
      </c>
      <c r="F108" s="187">
        <v>5</v>
      </c>
      <c r="G108" s="187">
        <v>6</v>
      </c>
      <c r="H108" s="278">
        <v>7</v>
      </c>
      <c r="I108" s="278"/>
      <c r="J108" s="278">
        <v>8</v>
      </c>
      <c r="K108" s="278"/>
      <c r="L108" s="278">
        <v>9</v>
      </c>
      <c r="M108" s="278"/>
      <c r="N108" s="187">
        <v>10</v>
      </c>
      <c r="O108" s="187">
        <v>11</v>
      </c>
      <c r="P108" s="125"/>
      <c r="Q108" s="125"/>
    </row>
    <row r="109" spans="2:19" s="53" customFormat="1" ht="15.75">
      <c r="B109" s="54"/>
      <c r="C109" s="96" t="s">
        <v>196</v>
      </c>
      <c r="D109" s="140"/>
      <c r="E109" s="137"/>
      <c r="F109" s="137"/>
      <c r="G109" s="154"/>
      <c r="H109" s="315" t="s">
        <v>9</v>
      </c>
      <c r="I109" s="316"/>
      <c r="J109" s="315" t="s">
        <v>9</v>
      </c>
      <c r="K109" s="316"/>
      <c r="L109" s="315" t="s">
        <v>9</v>
      </c>
      <c r="M109" s="316"/>
      <c r="N109" s="137" t="s">
        <v>9</v>
      </c>
      <c r="O109" s="137" t="s">
        <v>9</v>
      </c>
      <c r="P109" s="125"/>
      <c r="Q109" s="125"/>
    </row>
    <row r="110" spans="2:19" s="53" customFormat="1" ht="15.75">
      <c r="B110" s="54"/>
      <c r="C110" s="96"/>
      <c r="D110" s="216" t="s">
        <v>23</v>
      </c>
      <c r="E110" s="138" t="s">
        <v>9</v>
      </c>
      <c r="F110" s="138" t="s">
        <v>9</v>
      </c>
      <c r="G110" s="155">
        <f>SUM(G109)</f>
        <v>0</v>
      </c>
      <c r="H110" s="314">
        <v>0</v>
      </c>
      <c r="I110" s="314"/>
      <c r="J110" s="314">
        <v>0</v>
      </c>
      <c r="K110" s="314"/>
      <c r="L110" s="314">
        <v>0</v>
      </c>
      <c r="M110" s="314"/>
      <c r="N110" s="155">
        <v>0</v>
      </c>
      <c r="O110" s="155">
        <v>0</v>
      </c>
      <c r="P110" s="125"/>
      <c r="Q110" s="125"/>
    </row>
    <row r="111" spans="2:19" s="53" customFormat="1" ht="15.75">
      <c r="B111" s="52"/>
      <c r="C111" s="52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5"/>
      <c r="Q111" s="125"/>
    </row>
    <row r="112" spans="2:19" s="53" customFormat="1" ht="43.5" customHeight="1">
      <c r="B112" s="52"/>
      <c r="C112" s="281" t="s">
        <v>282</v>
      </c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127"/>
      <c r="O112" s="127"/>
      <c r="P112" s="125"/>
      <c r="Q112" s="125"/>
    </row>
    <row r="113" spans="2:18" s="53" customFormat="1" ht="17.25" customHeight="1">
      <c r="B113" s="52"/>
      <c r="C113" s="52"/>
      <c r="D113" s="127"/>
      <c r="E113" s="223"/>
      <c r="F113" s="139"/>
      <c r="G113" s="139"/>
      <c r="H113" s="139"/>
      <c r="I113" s="139"/>
      <c r="J113" s="139"/>
      <c r="K113" s="139"/>
      <c r="L113" s="139"/>
      <c r="M113" s="139"/>
      <c r="N113" s="127"/>
      <c r="O113" s="127"/>
      <c r="P113" s="125"/>
      <c r="Q113" s="125"/>
    </row>
    <row r="114" spans="2:18" s="53" customFormat="1" ht="63" customHeight="1">
      <c r="B114" s="295" t="s">
        <v>188</v>
      </c>
      <c r="C114" s="295" t="s">
        <v>2</v>
      </c>
      <c r="D114" s="278" t="s">
        <v>3</v>
      </c>
      <c r="E114" s="278" t="s">
        <v>214</v>
      </c>
      <c r="F114" s="278" t="s">
        <v>34</v>
      </c>
      <c r="G114" s="187" t="s">
        <v>216</v>
      </c>
      <c r="H114" s="278" t="s">
        <v>190</v>
      </c>
      <c r="I114" s="278"/>
      <c r="J114" s="278"/>
      <c r="K114" s="278"/>
      <c r="L114" s="278"/>
      <c r="M114" s="278"/>
      <c r="N114" s="278"/>
      <c r="O114" s="278"/>
      <c r="P114" s="125"/>
      <c r="Q114" s="125"/>
    </row>
    <row r="115" spans="2:18" s="53" customFormat="1" ht="99" customHeight="1">
      <c r="B115" s="295"/>
      <c r="C115" s="295"/>
      <c r="D115" s="278"/>
      <c r="E115" s="278"/>
      <c r="F115" s="278"/>
      <c r="G115" s="278" t="s">
        <v>236</v>
      </c>
      <c r="H115" s="278" t="s">
        <v>191</v>
      </c>
      <c r="I115" s="278"/>
      <c r="J115" s="302" t="s">
        <v>192</v>
      </c>
      <c r="K115" s="302"/>
      <c r="L115" s="278" t="s">
        <v>193</v>
      </c>
      <c r="M115" s="278"/>
      <c r="N115" s="278" t="s">
        <v>194</v>
      </c>
      <c r="O115" s="278"/>
      <c r="P115" s="125"/>
      <c r="Q115" s="125"/>
    </row>
    <row r="116" spans="2:18" s="53" customFormat="1" ht="31.5">
      <c r="B116" s="295"/>
      <c r="C116" s="295"/>
      <c r="D116" s="278"/>
      <c r="E116" s="278"/>
      <c r="F116" s="278"/>
      <c r="G116" s="278"/>
      <c r="H116" s="278"/>
      <c r="I116" s="278"/>
      <c r="J116" s="302"/>
      <c r="K116" s="302"/>
      <c r="L116" s="278"/>
      <c r="M116" s="278"/>
      <c r="N116" s="187" t="s">
        <v>14</v>
      </c>
      <c r="O116" s="187" t="s">
        <v>195</v>
      </c>
      <c r="P116" s="125"/>
      <c r="Q116" s="125"/>
    </row>
    <row r="117" spans="2:18" s="53" customFormat="1" ht="15.75">
      <c r="B117" s="91">
        <v>1</v>
      </c>
      <c r="C117" s="91">
        <v>2</v>
      </c>
      <c r="D117" s="187">
        <v>3</v>
      </c>
      <c r="E117" s="187">
        <v>4</v>
      </c>
      <c r="F117" s="187">
        <v>5</v>
      </c>
      <c r="G117" s="187">
        <v>6</v>
      </c>
      <c r="H117" s="278">
        <v>7</v>
      </c>
      <c r="I117" s="278"/>
      <c r="J117" s="278">
        <v>8</v>
      </c>
      <c r="K117" s="278"/>
      <c r="L117" s="278">
        <v>9</v>
      </c>
      <c r="M117" s="278"/>
      <c r="N117" s="187">
        <v>10</v>
      </c>
      <c r="O117" s="187">
        <v>11</v>
      </c>
      <c r="P117" s="125"/>
      <c r="Q117" s="125"/>
    </row>
    <row r="118" spans="2:18" s="53" customFormat="1" ht="18" customHeight="1">
      <c r="B118" s="54"/>
      <c r="C118" s="92" t="s">
        <v>196</v>
      </c>
      <c r="D118" s="154"/>
      <c r="E118" s="140"/>
      <c r="F118" s="140"/>
      <c r="G118" s="140"/>
      <c r="H118" s="313" t="s">
        <v>9</v>
      </c>
      <c r="I118" s="313"/>
      <c r="J118" s="313" t="s">
        <v>9</v>
      </c>
      <c r="K118" s="313"/>
      <c r="L118" s="313" t="s">
        <v>9</v>
      </c>
      <c r="M118" s="313"/>
      <c r="N118" s="137" t="s">
        <v>9</v>
      </c>
      <c r="O118" s="137" t="s">
        <v>9</v>
      </c>
      <c r="P118" s="125"/>
      <c r="Q118" s="125"/>
    </row>
    <row r="119" spans="2:18" s="53" customFormat="1" ht="15.75">
      <c r="B119" s="54"/>
      <c r="C119" s="96"/>
      <c r="D119" s="216" t="s">
        <v>23</v>
      </c>
      <c r="E119" s="138" t="s">
        <v>9</v>
      </c>
      <c r="F119" s="138" t="s">
        <v>9</v>
      </c>
      <c r="G119" s="155">
        <f>SUM(G118)</f>
        <v>0</v>
      </c>
      <c r="H119" s="314">
        <v>0</v>
      </c>
      <c r="I119" s="314"/>
      <c r="J119" s="314">
        <v>0</v>
      </c>
      <c r="K119" s="314"/>
      <c r="L119" s="314">
        <v>0</v>
      </c>
      <c r="M119" s="314"/>
      <c r="N119" s="155">
        <v>0</v>
      </c>
      <c r="O119" s="155">
        <v>0</v>
      </c>
      <c r="P119" s="125"/>
      <c r="Q119" s="125"/>
    </row>
    <row r="120" spans="2:18" s="53" customFormat="1" ht="33" customHeight="1">
      <c r="B120" s="52"/>
      <c r="C120" s="52"/>
      <c r="D120" s="127"/>
      <c r="E120" s="311" t="s">
        <v>283</v>
      </c>
      <c r="F120" s="312"/>
      <c r="G120" s="312"/>
      <c r="H120" s="312"/>
      <c r="I120" s="312"/>
      <c r="J120" s="312"/>
      <c r="K120" s="312"/>
      <c r="L120" s="312"/>
      <c r="M120" s="312"/>
      <c r="N120" s="127"/>
      <c r="O120" s="127"/>
      <c r="P120" s="127"/>
      <c r="Q120" s="125"/>
    </row>
    <row r="121" spans="2:18" s="53" customFormat="1" ht="15.75" customHeight="1">
      <c r="B121" s="52"/>
      <c r="C121" s="52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5"/>
    </row>
    <row r="122" spans="2:18" s="53" customFormat="1" ht="15.75">
      <c r="B122" s="52"/>
      <c r="C122" s="52"/>
      <c r="D122" s="127"/>
      <c r="E122" s="312" t="s">
        <v>284</v>
      </c>
      <c r="F122" s="312"/>
      <c r="G122" s="312"/>
      <c r="H122" s="312"/>
      <c r="I122" s="312"/>
      <c r="J122" s="312"/>
      <c r="K122" s="312"/>
      <c r="L122" s="312"/>
      <c r="M122" s="312"/>
      <c r="N122" s="127"/>
      <c r="O122" s="127"/>
      <c r="P122" s="127"/>
      <c r="Q122" s="125"/>
    </row>
    <row r="123" spans="2:18" s="53" customFormat="1" ht="15.75" customHeight="1">
      <c r="B123" s="52"/>
      <c r="C123" s="52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5"/>
    </row>
    <row r="124" spans="2:18" s="53" customFormat="1" ht="31.5" customHeight="1">
      <c r="B124" s="295" t="s">
        <v>188</v>
      </c>
      <c r="C124" s="295" t="s">
        <v>2</v>
      </c>
      <c r="D124" s="278" t="s">
        <v>24</v>
      </c>
      <c r="E124" s="278" t="s">
        <v>223</v>
      </c>
      <c r="F124" s="278" t="s">
        <v>224</v>
      </c>
      <c r="G124" s="278" t="s">
        <v>225</v>
      </c>
      <c r="H124" s="187" t="s">
        <v>205</v>
      </c>
      <c r="I124" s="278" t="s">
        <v>190</v>
      </c>
      <c r="J124" s="278"/>
      <c r="K124" s="278"/>
      <c r="L124" s="278"/>
      <c r="M124" s="278"/>
      <c r="N124" s="278"/>
      <c r="O124" s="278"/>
      <c r="P124" s="213"/>
      <c r="Q124" s="213"/>
      <c r="R124" s="57"/>
    </row>
    <row r="125" spans="2:18" s="53" customFormat="1" ht="93.75" customHeight="1">
      <c r="B125" s="295"/>
      <c r="C125" s="295"/>
      <c r="D125" s="278"/>
      <c r="E125" s="278"/>
      <c r="F125" s="278"/>
      <c r="G125" s="278"/>
      <c r="H125" s="278" t="s">
        <v>241</v>
      </c>
      <c r="I125" s="278" t="s">
        <v>191</v>
      </c>
      <c r="J125" s="278"/>
      <c r="K125" s="302" t="s">
        <v>192</v>
      </c>
      <c r="L125" s="302"/>
      <c r="M125" s="288" t="s">
        <v>193</v>
      </c>
      <c r="N125" s="288" t="s">
        <v>194</v>
      </c>
      <c r="O125" s="288"/>
      <c r="P125" s="196"/>
      <c r="Q125" s="213"/>
      <c r="R125" s="57"/>
    </row>
    <row r="126" spans="2:18" s="53" customFormat="1" ht="39" customHeight="1">
      <c r="B126" s="295"/>
      <c r="C126" s="295"/>
      <c r="D126" s="278"/>
      <c r="E126" s="278"/>
      <c r="F126" s="278"/>
      <c r="G126" s="278"/>
      <c r="H126" s="278"/>
      <c r="I126" s="278"/>
      <c r="J126" s="278"/>
      <c r="K126" s="302"/>
      <c r="L126" s="302"/>
      <c r="M126" s="288"/>
      <c r="N126" s="185" t="s">
        <v>14</v>
      </c>
      <c r="O126" s="185" t="s">
        <v>195</v>
      </c>
      <c r="P126" s="196"/>
      <c r="Q126" s="202"/>
      <c r="R126" s="94"/>
    </row>
    <row r="127" spans="2:18" s="53" customFormat="1" ht="15.75" customHeight="1">
      <c r="B127" s="91">
        <v>1</v>
      </c>
      <c r="C127" s="91">
        <v>2</v>
      </c>
      <c r="D127" s="187">
        <v>3</v>
      </c>
      <c r="E127" s="187">
        <v>4</v>
      </c>
      <c r="F127" s="187">
        <v>5</v>
      </c>
      <c r="G127" s="187">
        <v>6</v>
      </c>
      <c r="H127" s="187">
        <v>7</v>
      </c>
      <c r="I127" s="278">
        <v>8</v>
      </c>
      <c r="J127" s="278"/>
      <c r="K127" s="278">
        <v>9</v>
      </c>
      <c r="L127" s="278"/>
      <c r="M127" s="185">
        <v>10</v>
      </c>
      <c r="N127" s="185">
        <v>11</v>
      </c>
      <c r="O127" s="185">
        <v>12</v>
      </c>
      <c r="P127" s="202"/>
      <c r="Q127" s="202"/>
      <c r="R127" s="94"/>
    </row>
    <row r="128" spans="2:18" s="53" customFormat="1" ht="31.5">
      <c r="B128" s="92">
        <v>244</v>
      </c>
      <c r="C128" s="92" t="s">
        <v>196</v>
      </c>
      <c r="D128" s="140" t="s">
        <v>239</v>
      </c>
      <c r="E128" s="134">
        <v>1</v>
      </c>
      <c r="F128" s="134">
        <v>12</v>
      </c>
      <c r="G128" s="134">
        <f>ROUND((H128/E128/F128),1)</f>
        <v>1358.3</v>
      </c>
      <c r="H128" s="143">
        <v>16300</v>
      </c>
      <c r="I128" s="273" t="s">
        <v>9</v>
      </c>
      <c r="J128" s="273"/>
      <c r="K128" s="273" t="s">
        <v>9</v>
      </c>
      <c r="L128" s="273"/>
      <c r="M128" s="47" t="s">
        <v>9</v>
      </c>
      <c r="N128" s="47" t="s">
        <v>9</v>
      </c>
      <c r="O128" s="47" t="s">
        <v>9</v>
      </c>
      <c r="P128" s="224"/>
      <c r="Q128" s="224"/>
      <c r="R128" s="55"/>
    </row>
    <row r="129" spans="2:18" s="53" customFormat="1" ht="82.5" hidden="1" customHeight="1">
      <c r="B129" s="92">
        <v>244</v>
      </c>
      <c r="C129" s="92" t="s">
        <v>175</v>
      </c>
      <c r="D129" s="140" t="s">
        <v>240</v>
      </c>
      <c r="E129" s="134">
        <v>1</v>
      </c>
      <c r="F129" s="134">
        <v>12</v>
      </c>
      <c r="G129" s="134">
        <f>ROUND((H129/E129/F129),1)</f>
        <v>0</v>
      </c>
      <c r="H129" s="143">
        <v>0</v>
      </c>
      <c r="I129" s="273" t="s">
        <v>9</v>
      </c>
      <c r="J129" s="273"/>
      <c r="K129" s="273" t="s">
        <v>9</v>
      </c>
      <c r="L129" s="273"/>
      <c r="M129" s="47" t="s">
        <v>9</v>
      </c>
      <c r="N129" s="47" t="s">
        <v>9</v>
      </c>
      <c r="O129" s="47" t="s">
        <v>9</v>
      </c>
      <c r="P129" s="224"/>
      <c r="Q129" s="224"/>
      <c r="R129" s="55"/>
    </row>
    <row r="130" spans="2:18" s="50" customFormat="1" ht="40.5" customHeight="1">
      <c r="B130" s="74"/>
      <c r="C130" s="93"/>
      <c r="D130" s="216" t="s">
        <v>23</v>
      </c>
      <c r="E130" s="135" t="s">
        <v>9</v>
      </c>
      <c r="F130" s="135" t="s">
        <v>9</v>
      </c>
      <c r="G130" s="135" t="s">
        <v>9</v>
      </c>
      <c r="H130" s="225">
        <f>SUM(H128:H129)</f>
        <v>16300</v>
      </c>
      <c r="I130" s="283">
        <f>H130</f>
        <v>16300</v>
      </c>
      <c r="J130" s="284"/>
      <c r="K130" s="283">
        <v>0</v>
      </c>
      <c r="L130" s="283"/>
      <c r="M130" s="205">
        <v>0</v>
      </c>
      <c r="N130" s="205">
        <v>0</v>
      </c>
      <c r="O130" s="205">
        <v>0</v>
      </c>
      <c r="P130" s="144"/>
      <c r="Q130" s="144" t="s">
        <v>295</v>
      </c>
      <c r="R130" s="49"/>
    </row>
    <row r="131" spans="2:18" s="53" customFormat="1" ht="15" customHeight="1">
      <c r="B131" s="52"/>
      <c r="C131" s="52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5"/>
    </row>
    <row r="132" spans="2:18" s="53" customFormat="1" ht="23.25" customHeight="1">
      <c r="B132" s="52"/>
      <c r="C132" s="52"/>
      <c r="D132" s="127"/>
      <c r="E132" s="309" t="s">
        <v>285</v>
      </c>
      <c r="F132" s="310"/>
      <c r="G132" s="310"/>
      <c r="H132" s="310"/>
      <c r="I132" s="310"/>
      <c r="J132" s="310"/>
      <c r="K132" s="310"/>
      <c r="L132" s="310"/>
      <c r="M132" s="310"/>
      <c r="N132" s="127"/>
      <c r="O132" s="127"/>
      <c r="P132" s="127"/>
      <c r="Q132" s="125"/>
    </row>
    <row r="133" spans="2:18" s="53" customFormat="1" ht="15.75" customHeight="1">
      <c r="B133" s="52"/>
      <c r="C133" s="52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5"/>
    </row>
    <row r="134" spans="2:18" s="53" customFormat="1" ht="31.5" customHeight="1">
      <c r="B134" s="295" t="s">
        <v>188</v>
      </c>
      <c r="C134" s="295" t="s">
        <v>2</v>
      </c>
      <c r="D134" s="278" t="s">
        <v>24</v>
      </c>
      <c r="E134" s="278" t="s">
        <v>35</v>
      </c>
      <c r="F134" s="278" t="s">
        <v>227</v>
      </c>
      <c r="G134" s="187" t="s">
        <v>205</v>
      </c>
      <c r="H134" s="278" t="s">
        <v>190</v>
      </c>
      <c r="I134" s="278"/>
      <c r="J134" s="278"/>
      <c r="K134" s="278"/>
      <c r="L134" s="278"/>
      <c r="M134" s="278"/>
      <c r="N134" s="278"/>
      <c r="O134" s="213"/>
      <c r="P134" s="213"/>
      <c r="Q134" s="125"/>
    </row>
    <row r="135" spans="2:18" s="53" customFormat="1" ht="87.75" customHeight="1">
      <c r="B135" s="295"/>
      <c r="C135" s="295"/>
      <c r="D135" s="278"/>
      <c r="E135" s="278"/>
      <c r="F135" s="278"/>
      <c r="G135" s="278" t="s">
        <v>236</v>
      </c>
      <c r="H135" s="278" t="s">
        <v>191</v>
      </c>
      <c r="I135" s="278"/>
      <c r="J135" s="302" t="s">
        <v>192</v>
      </c>
      <c r="K135" s="302"/>
      <c r="L135" s="288" t="s">
        <v>193</v>
      </c>
      <c r="M135" s="288" t="s">
        <v>194</v>
      </c>
      <c r="N135" s="288"/>
      <c r="O135" s="213"/>
      <c r="P135" s="202"/>
      <c r="Q135" s="125"/>
    </row>
    <row r="136" spans="2:18" s="53" customFormat="1" ht="36" customHeight="1">
      <c r="B136" s="295"/>
      <c r="C136" s="295"/>
      <c r="D136" s="278"/>
      <c r="E136" s="278"/>
      <c r="F136" s="278"/>
      <c r="G136" s="278"/>
      <c r="H136" s="278"/>
      <c r="I136" s="278"/>
      <c r="J136" s="302"/>
      <c r="K136" s="302"/>
      <c r="L136" s="288"/>
      <c r="M136" s="185" t="s">
        <v>14</v>
      </c>
      <c r="N136" s="185" t="s">
        <v>195</v>
      </c>
      <c r="O136" s="202"/>
      <c r="P136" s="202"/>
      <c r="Q136" s="125"/>
    </row>
    <row r="137" spans="2:18" s="53" customFormat="1" ht="15.75" customHeight="1">
      <c r="B137" s="91">
        <v>1</v>
      </c>
      <c r="C137" s="91">
        <v>2</v>
      </c>
      <c r="D137" s="187">
        <v>3</v>
      </c>
      <c r="E137" s="187">
        <v>4</v>
      </c>
      <c r="F137" s="187">
        <v>5</v>
      </c>
      <c r="G137" s="187">
        <v>6</v>
      </c>
      <c r="H137" s="278">
        <v>7</v>
      </c>
      <c r="I137" s="278"/>
      <c r="J137" s="278">
        <v>8</v>
      </c>
      <c r="K137" s="278"/>
      <c r="L137" s="185">
        <v>9</v>
      </c>
      <c r="M137" s="185">
        <v>10</v>
      </c>
      <c r="N137" s="185">
        <v>11</v>
      </c>
      <c r="O137" s="202"/>
      <c r="P137" s="202"/>
      <c r="Q137" s="125"/>
    </row>
    <row r="138" spans="2:18" s="53" customFormat="1" ht="15.75">
      <c r="B138" s="92"/>
      <c r="C138" s="92"/>
      <c r="D138" s="140"/>
      <c r="E138" s="141">
        <v>0</v>
      </c>
      <c r="F138" s="141">
        <v>0</v>
      </c>
      <c r="G138" s="141"/>
      <c r="H138" s="287" t="s">
        <v>9</v>
      </c>
      <c r="I138" s="287"/>
      <c r="J138" s="287" t="s">
        <v>9</v>
      </c>
      <c r="K138" s="287"/>
      <c r="L138" s="47" t="s">
        <v>9</v>
      </c>
      <c r="M138" s="47" t="s">
        <v>9</v>
      </c>
      <c r="N138" s="47" t="s">
        <v>9</v>
      </c>
      <c r="O138" s="226"/>
      <c r="P138" s="226"/>
      <c r="Q138" s="125"/>
    </row>
    <row r="139" spans="2:18" s="50" customFormat="1" ht="15.75" customHeight="1">
      <c r="B139" s="60"/>
      <c r="C139" s="60"/>
      <c r="D139" s="216" t="s">
        <v>23</v>
      </c>
      <c r="E139" s="142" t="s">
        <v>9</v>
      </c>
      <c r="F139" s="142" t="s">
        <v>9</v>
      </c>
      <c r="G139" s="142"/>
      <c r="H139" s="283"/>
      <c r="I139" s="283"/>
      <c r="J139" s="283"/>
      <c r="K139" s="283"/>
      <c r="L139" s="128"/>
      <c r="M139" s="128"/>
      <c r="N139" s="128"/>
      <c r="O139" s="144"/>
      <c r="P139" s="144"/>
      <c r="Q139" s="144" t="s">
        <v>298</v>
      </c>
      <c r="R139" s="49"/>
    </row>
    <row r="140" spans="2:18" s="53" customFormat="1" ht="15.75">
      <c r="B140" s="52"/>
      <c r="C140" s="52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5"/>
    </row>
    <row r="141" spans="2:18" s="53" customFormat="1" ht="33" customHeight="1">
      <c r="B141" s="52"/>
      <c r="C141" s="52"/>
      <c r="D141" s="127"/>
      <c r="E141" s="309" t="s">
        <v>286</v>
      </c>
      <c r="F141" s="310"/>
      <c r="G141" s="310"/>
      <c r="H141" s="310"/>
      <c r="I141" s="310"/>
      <c r="J141" s="310"/>
      <c r="K141" s="310"/>
      <c r="L141" s="310"/>
      <c r="M141" s="310"/>
      <c r="N141" s="127"/>
      <c r="O141" s="127"/>
      <c r="P141" s="127"/>
      <c r="Q141" s="125"/>
    </row>
    <row r="142" spans="2:18" s="53" customFormat="1" ht="15.75">
      <c r="B142" s="52"/>
      <c r="C142" s="52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93"/>
      <c r="R142" s="101"/>
    </row>
    <row r="143" spans="2:18" s="53" customFormat="1" ht="31.5" customHeight="1">
      <c r="B143" s="295" t="s">
        <v>188</v>
      </c>
      <c r="C143" s="295" t="s">
        <v>2</v>
      </c>
      <c r="D143" s="296" t="s">
        <v>3</v>
      </c>
      <c r="E143" s="297"/>
      <c r="F143" s="278" t="s">
        <v>36</v>
      </c>
      <c r="G143" s="278" t="s">
        <v>228</v>
      </c>
      <c r="H143" s="278" t="s">
        <v>229</v>
      </c>
      <c r="I143" s="187" t="s">
        <v>205</v>
      </c>
      <c r="J143" s="278" t="s">
        <v>190</v>
      </c>
      <c r="K143" s="278"/>
      <c r="L143" s="278"/>
      <c r="M143" s="278"/>
      <c r="N143" s="278"/>
      <c r="O143" s="278"/>
      <c r="P143" s="278"/>
      <c r="Q143" s="213"/>
      <c r="R143" s="57"/>
    </row>
    <row r="144" spans="2:18" s="53" customFormat="1" ht="96.75" customHeight="1">
      <c r="B144" s="295"/>
      <c r="C144" s="295"/>
      <c r="D144" s="298"/>
      <c r="E144" s="299"/>
      <c r="F144" s="278"/>
      <c r="G144" s="278"/>
      <c r="H144" s="278"/>
      <c r="I144" s="278" t="s">
        <v>260</v>
      </c>
      <c r="J144" s="278" t="s">
        <v>191</v>
      </c>
      <c r="K144" s="278"/>
      <c r="L144" s="302" t="s">
        <v>192</v>
      </c>
      <c r="M144" s="302"/>
      <c r="N144" s="288" t="s">
        <v>193</v>
      </c>
      <c r="O144" s="288" t="s">
        <v>194</v>
      </c>
      <c r="P144" s="288"/>
      <c r="Q144" s="213"/>
      <c r="R144" s="57"/>
    </row>
    <row r="145" spans="2:20" s="53" customFormat="1" ht="31.5" customHeight="1">
      <c r="B145" s="295"/>
      <c r="C145" s="295"/>
      <c r="D145" s="300"/>
      <c r="E145" s="301"/>
      <c r="F145" s="278"/>
      <c r="G145" s="278"/>
      <c r="H145" s="278"/>
      <c r="I145" s="278"/>
      <c r="J145" s="278"/>
      <c r="K145" s="278"/>
      <c r="L145" s="302"/>
      <c r="M145" s="302"/>
      <c r="N145" s="288"/>
      <c r="O145" s="185" t="s">
        <v>14</v>
      </c>
      <c r="P145" s="185" t="s">
        <v>195</v>
      </c>
      <c r="Q145" s="202"/>
      <c r="R145" s="94"/>
    </row>
    <row r="146" spans="2:20" s="53" customFormat="1" ht="15.75">
      <c r="B146" s="91">
        <v>1</v>
      </c>
      <c r="C146" s="91">
        <v>2</v>
      </c>
      <c r="D146" s="279">
        <v>3</v>
      </c>
      <c r="E146" s="280"/>
      <c r="F146" s="187">
        <v>4</v>
      </c>
      <c r="G146" s="187">
        <v>5</v>
      </c>
      <c r="H146" s="187">
        <v>6</v>
      </c>
      <c r="I146" s="187">
        <v>7</v>
      </c>
      <c r="J146" s="278">
        <v>8</v>
      </c>
      <c r="K146" s="278"/>
      <c r="L146" s="278">
        <v>9</v>
      </c>
      <c r="M146" s="278"/>
      <c r="N146" s="187">
        <v>10</v>
      </c>
      <c r="O146" s="187">
        <v>11</v>
      </c>
      <c r="P146" s="187">
        <v>12</v>
      </c>
      <c r="Q146" s="202"/>
      <c r="R146" s="94"/>
    </row>
    <row r="147" spans="2:20" s="53" customFormat="1" ht="21" customHeight="1">
      <c r="B147" s="92">
        <v>247</v>
      </c>
      <c r="C147" s="92" t="s">
        <v>196</v>
      </c>
      <c r="D147" s="274" t="s">
        <v>256</v>
      </c>
      <c r="E147" s="275"/>
      <c r="F147" s="134">
        <v>65255</v>
      </c>
      <c r="G147" s="143">
        <f>ROUND((I147/F147/1.038),2)</f>
        <v>7.63</v>
      </c>
      <c r="H147" s="134">
        <v>3.8</v>
      </c>
      <c r="I147" s="141">
        <v>516904.3</v>
      </c>
      <c r="J147" s="273" t="s">
        <v>9</v>
      </c>
      <c r="K147" s="273"/>
      <c r="L147" s="273" t="s">
        <v>9</v>
      </c>
      <c r="M147" s="273"/>
      <c r="N147" s="134" t="s">
        <v>9</v>
      </c>
      <c r="O147" s="134" t="s">
        <v>9</v>
      </c>
      <c r="P147" s="134" t="s">
        <v>9</v>
      </c>
      <c r="Q147" s="215"/>
      <c r="R147" s="61"/>
    </row>
    <row r="148" spans="2:20" s="53" customFormat="1" ht="33" customHeight="1">
      <c r="B148" s="92">
        <v>247</v>
      </c>
      <c r="C148" s="92" t="s">
        <v>175</v>
      </c>
      <c r="D148" s="274" t="s">
        <v>257</v>
      </c>
      <c r="E148" s="275"/>
      <c r="F148" s="134">
        <v>525</v>
      </c>
      <c r="G148" s="134">
        <f t="shared" ref="G148" si="3">ROUND((I148/F148/1.038),2)</f>
        <v>2844.67</v>
      </c>
      <c r="H148" s="134">
        <v>3.8</v>
      </c>
      <c r="I148" s="141">
        <v>1550201.4</v>
      </c>
      <c r="J148" s="273" t="s">
        <v>9</v>
      </c>
      <c r="K148" s="273"/>
      <c r="L148" s="273" t="s">
        <v>9</v>
      </c>
      <c r="M148" s="273"/>
      <c r="N148" s="134" t="s">
        <v>9</v>
      </c>
      <c r="O148" s="134" t="s">
        <v>9</v>
      </c>
      <c r="P148" s="134" t="s">
        <v>9</v>
      </c>
      <c r="Q148" s="215"/>
      <c r="R148" s="61"/>
    </row>
    <row r="149" spans="2:20" s="53" customFormat="1" ht="21.75" customHeight="1">
      <c r="B149" s="92">
        <v>244</v>
      </c>
      <c r="C149" s="92" t="s">
        <v>180</v>
      </c>
      <c r="D149" s="274" t="s">
        <v>266</v>
      </c>
      <c r="E149" s="275"/>
      <c r="F149" s="163">
        <v>1326</v>
      </c>
      <c r="G149" s="134">
        <f>ROUND((I149/F149/1.038),2)</f>
        <v>38.69</v>
      </c>
      <c r="H149" s="134">
        <v>3.8</v>
      </c>
      <c r="I149" s="141">
        <v>53255.3</v>
      </c>
      <c r="J149" s="273" t="s">
        <v>9</v>
      </c>
      <c r="K149" s="273"/>
      <c r="L149" s="273" t="s">
        <v>9</v>
      </c>
      <c r="M149" s="273"/>
      <c r="N149" s="134" t="s">
        <v>9</v>
      </c>
      <c r="O149" s="134" t="s">
        <v>9</v>
      </c>
      <c r="P149" s="134" t="s">
        <v>9</v>
      </c>
      <c r="Q149" s="215"/>
      <c r="R149" s="61"/>
    </row>
    <row r="150" spans="2:20" s="53" customFormat="1" ht="69.75" customHeight="1">
      <c r="B150" s="92">
        <v>244</v>
      </c>
      <c r="C150" s="92" t="s">
        <v>199</v>
      </c>
      <c r="D150" s="274" t="s">
        <v>267</v>
      </c>
      <c r="E150" s="275"/>
      <c r="F150" s="134">
        <v>1326</v>
      </c>
      <c r="G150" s="134">
        <f t="shared" ref="G150" si="4">ROUND((I150/F150/1.038),2)</f>
        <v>53.92</v>
      </c>
      <c r="H150" s="134">
        <v>3.8</v>
      </c>
      <c r="I150" s="141">
        <v>74211.600000000006</v>
      </c>
      <c r="J150" s="273" t="s">
        <v>9</v>
      </c>
      <c r="K150" s="273"/>
      <c r="L150" s="273" t="s">
        <v>9</v>
      </c>
      <c r="M150" s="273"/>
      <c r="N150" s="134" t="s">
        <v>9</v>
      </c>
      <c r="O150" s="134" t="s">
        <v>9</v>
      </c>
      <c r="P150" s="134" t="s">
        <v>9</v>
      </c>
      <c r="Q150" s="215"/>
      <c r="R150" s="61"/>
    </row>
    <row r="151" spans="2:20" s="53" customFormat="1" ht="19.5" customHeight="1">
      <c r="B151" s="92">
        <v>244</v>
      </c>
      <c r="C151" s="92" t="s">
        <v>226</v>
      </c>
      <c r="D151" s="274" t="s">
        <v>258</v>
      </c>
      <c r="E151" s="275"/>
      <c r="F151" s="141">
        <v>40.200000000000003</v>
      </c>
      <c r="G151" s="134">
        <f>ROUND((I151/F151/1.038),2)</f>
        <v>793.11</v>
      </c>
      <c r="H151" s="134">
        <v>3.8</v>
      </c>
      <c r="I151" s="143">
        <v>33094.6</v>
      </c>
      <c r="J151" s="273" t="s">
        <v>9</v>
      </c>
      <c r="K151" s="273"/>
      <c r="L151" s="273" t="s">
        <v>9</v>
      </c>
      <c r="M151" s="273"/>
      <c r="N151" s="134" t="s">
        <v>9</v>
      </c>
      <c r="O151" s="134" t="s">
        <v>9</v>
      </c>
      <c r="P151" s="134" t="s">
        <v>9</v>
      </c>
      <c r="Q151" s="144" t="s">
        <v>299</v>
      </c>
      <c r="R151" s="49"/>
    </row>
    <row r="152" spans="2:20" s="53" customFormat="1" ht="15.75">
      <c r="B152" s="74"/>
      <c r="C152" s="285" t="s">
        <v>23</v>
      </c>
      <c r="D152" s="308"/>
      <c r="E152" s="286"/>
      <c r="F152" s="135" t="s">
        <v>9</v>
      </c>
      <c r="G152" s="135" t="s">
        <v>9</v>
      </c>
      <c r="H152" s="135" t="s">
        <v>9</v>
      </c>
      <c r="I152" s="225">
        <f>SUM(I147:I151)</f>
        <v>2227667.2000000002</v>
      </c>
      <c r="J152" s="283">
        <f>I152</f>
        <v>2227667.2000000002</v>
      </c>
      <c r="K152" s="284"/>
      <c r="L152" s="283">
        <v>0</v>
      </c>
      <c r="M152" s="283"/>
      <c r="N152" s="142">
        <v>0</v>
      </c>
      <c r="O152" s="142">
        <v>0</v>
      </c>
      <c r="P152" s="142">
        <v>0</v>
      </c>
      <c r="Q152" s="213"/>
      <c r="R152" s="57"/>
    </row>
    <row r="153" spans="2:20" s="53" customFormat="1" ht="15.75" customHeight="1">
      <c r="B153" s="52"/>
      <c r="C153" s="52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93"/>
      <c r="R153" s="101"/>
    </row>
    <row r="154" spans="2:20" s="53" customFormat="1" ht="23.25" customHeight="1">
      <c r="B154" s="52"/>
      <c r="C154" s="281" t="s">
        <v>287</v>
      </c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127"/>
      <c r="O154" s="127"/>
      <c r="P154" s="127"/>
      <c r="Q154" s="125"/>
    </row>
    <row r="155" spans="2:20" s="53" customFormat="1" ht="15.75">
      <c r="B155" s="52"/>
      <c r="C155" s="52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5"/>
    </row>
    <row r="156" spans="2:20" s="53" customFormat="1" ht="31.5" customHeight="1">
      <c r="B156" s="295" t="s">
        <v>188</v>
      </c>
      <c r="C156" s="295" t="s">
        <v>2</v>
      </c>
      <c r="D156" s="278" t="s">
        <v>24</v>
      </c>
      <c r="E156" s="278" t="s">
        <v>230</v>
      </c>
      <c r="F156" s="278" t="s">
        <v>231</v>
      </c>
      <c r="G156" s="187" t="s">
        <v>232</v>
      </c>
      <c r="H156" s="278" t="s">
        <v>190</v>
      </c>
      <c r="I156" s="278"/>
      <c r="J156" s="278"/>
      <c r="K156" s="278"/>
      <c r="L156" s="278"/>
      <c r="M156" s="278"/>
      <c r="N156" s="278"/>
      <c r="O156" s="213"/>
      <c r="P156" s="213"/>
      <c r="Q156" s="125"/>
    </row>
    <row r="157" spans="2:20" s="53" customFormat="1" ht="85.5" customHeight="1">
      <c r="B157" s="295"/>
      <c r="C157" s="295"/>
      <c r="D157" s="278"/>
      <c r="E157" s="278"/>
      <c r="F157" s="278"/>
      <c r="G157" s="305" t="s">
        <v>236</v>
      </c>
      <c r="H157" s="278" t="s">
        <v>191</v>
      </c>
      <c r="I157" s="278"/>
      <c r="J157" s="302" t="s">
        <v>192</v>
      </c>
      <c r="K157" s="302"/>
      <c r="L157" s="288" t="s">
        <v>193</v>
      </c>
      <c r="M157" s="288" t="s">
        <v>194</v>
      </c>
      <c r="N157" s="288"/>
      <c r="O157" s="213"/>
      <c r="P157" s="202"/>
      <c r="Q157" s="125"/>
    </row>
    <row r="158" spans="2:20" s="53" customFormat="1" ht="35.25" customHeight="1">
      <c r="B158" s="295"/>
      <c r="C158" s="295"/>
      <c r="D158" s="278"/>
      <c r="E158" s="278"/>
      <c r="F158" s="278"/>
      <c r="G158" s="306"/>
      <c r="H158" s="278"/>
      <c r="I158" s="278"/>
      <c r="J158" s="302"/>
      <c r="K158" s="302"/>
      <c r="L158" s="288"/>
      <c r="M158" s="185" t="s">
        <v>14</v>
      </c>
      <c r="N158" s="185" t="s">
        <v>195</v>
      </c>
      <c r="O158" s="202"/>
      <c r="P158" s="202"/>
      <c r="Q158" s="125"/>
    </row>
    <row r="159" spans="2:20" s="53" customFormat="1" ht="14.25" customHeight="1">
      <c r="B159" s="91">
        <v>1</v>
      </c>
      <c r="C159" s="91">
        <v>2</v>
      </c>
      <c r="D159" s="187">
        <v>3</v>
      </c>
      <c r="E159" s="187">
        <v>4</v>
      </c>
      <c r="F159" s="187">
        <v>5</v>
      </c>
      <c r="G159" s="187">
        <v>6</v>
      </c>
      <c r="H159" s="278">
        <v>7</v>
      </c>
      <c r="I159" s="278"/>
      <c r="J159" s="278">
        <v>8</v>
      </c>
      <c r="K159" s="278"/>
      <c r="L159" s="187">
        <v>9</v>
      </c>
      <c r="M159" s="187">
        <v>10</v>
      </c>
      <c r="N159" s="187">
        <v>11</v>
      </c>
      <c r="O159" s="202"/>
      <c r="P159" s="202"/>
      <c r="Q159" s="125"/>
    </row>
    <row r="160" spans="2:20" s="53" customFormat="1" ht="26.25" customHeight="1">
      <c r="B160" s="92">
        <v>244</v>
      </c>
      <c r="C160" s="92">
        <v>1</v>
      </c>
      <c r="D160" s="222" t="s">
        <v>359</v>
      </c>
      <c r="E160" s="134">
        <v>1</v>
      </c>
      <c r="F160" s="252">
        <v>13741.9</v>
      </c>
      <c r="G160" s="143">
        <f>E160*F160</f>
        <v>13741.9</v>
      </c>
      <c r="H160" s="273" t="s">
        <v>9</v>
      </c>
      <c r="I160" s="273"/>
      <c r="J160" s="273" t="s">
        <v>9</v>
      </c>
      <c r="K160" s="273"/>
      <c r="L160" s="134" t="s">
        <v>9</v>
      </c>
      <c r="M160" s="134" t="s">
        <v>9</v>
      </c>
      <c r="N160" s="134" t="s">
        <v>9</v>
      </c>
      <c r="O160" s="215"/>
      <c r="P160" s="215"/>
      <c r="Q160" s="144" t="s">
        <v>300</v>
      </c>
      <c r="R160" s="49"/>
      <c r="S160" s="86" t="s">
        <v>296</v>
      </c>
      <c r="T160" s="116">
        <v>68408.5</v>
      </c>
    </row>
    <row r="161" spans="2:20" s="53" customFormat="1" ht="15.75" hidden="1">
      <c r="B161" s="114">
        <v>244</v>
      </c>
      <c r="C161" s="114">
        <v>2</v>
      </c>
      <c r="D161" s="222" t="s">
        <v>396</v>
      </c>
      <c r="E161" s="134">
        <v>1</v>
      </c>
      <c r="F161" s="141">
        <v>0</v>
      </c>
      <c r="G161" s="141">
        <f>E161*F161</f>
        <v>0</v>
      </c>
      <c r="H161" s="273" t="s">
        <v>9</v>
      </c>
      <c r="I161" s="273"/>
      <c r="J161" s="273" t="s">
        <v>9</v>
      </c>
      <c r="K161" s="273"/>
      <c r="L161" s="134" t="s">
        <v>9</v>
      </c>
      <c r="M161" s="134" t="s">
        <v>9</v>
      </c>
      <c r="N161" s="134" t="s">
        <v>9</v>
      </c>
      <c r="O161" s="215"/>
      <c r="P161" s="215"/>
      <c r="Q161" s="144"/>
      <c r="R161" s="49"/>
      <c r="S161" s="86"/>
      <c r="T161" s="109"/>
    </row>
    <row r="162" spans="2:20" s="53" customFormat="1" ht="25.5" customHeight="1">
      <c r="B162" s="92">
        <v>244</v>
      </c>
      <c r="C162" s="92">
        <v>2</v>
      </c>
      <c r="D162" s="222" t="s">
        <v>434</v>
      </c>
      <c r="E162" s="134">
        <v>1</v>
      </c>
      <c r="F162" s="134">
        <v>54666.6</v>
      </c>
      <c r="G162" s="141">
        <f>E162*F162</f>
        <v>54666.6</v>
      </c>
      <c r="H162" s="273" t="s">
        <v>9</v>
      </c>
      <c r="I162" s="273"/>
      <c r="J162" s="273" t="s">
        <v>9</v>
      </c>
      <c r="K162" s="273"/>
      <c r="L162" s="134" t="s">
        <v>9</v>
      </c>
      <c r="M162" s="134" t="s">
        <v>9</v>
      </c>
      <c r="N162" s="134" t="s">
        <v>9</v>
      </c>
      <c r="O162" s="215"/>
      <c r="P162" s="215"/>
      <c r="Q162" s="125"/>
      <c r="S162" s="86" t="s">
        <v>290</v>
      </c>
      <c r="T162" s="86">
        <v>0</v>
      </c>
    </row>
    <row r="163" spans="2:20" s="53" customFormat="1" ht="75" customHeight="1">
      <c r="B163" s="92">
        <v>244</v>
      </c>
      <c r="C163" s="92">
        <v>3</v>
      </c>
      <c r="D163" s="222" t="s">
        <v>269</v>
      </c>
      <c r="E163" s="134">
        <v>1</v>
      </c>
      <c r="F163" s="251">
        <v>40200</v>
      </c>
      <c r="G163" s="141">
        <f t="shared" ref="G163:G171" si="5">E163*F163</f>
        <v>40200</v>
      </c>
      <c r="H163" s="273" t="s">
        <v>9</v>
      </c>
      <c r="I163" s="273"/>
      <c r="J163" s="273" t="s">
        <v>9</v>
      </c>
      <c r="K163" s="273"/>
      <c r="L163" s="134" t="s">
        <v>9</v>
      </c>
      <c r="M163" s="134" t="s">
        <v>9</v>
      </c>
      <c r="N163" s="134" t="s">
        <v>9</v>
      </c>
      <c r="O163" s="215"/>
      <c r="P163" s="215"/>
      <c r="Q163" s="125"/>
      <c r="S163" s="86" t="s">
        <v>304</v>
      </c>
      <c r="T163" s="110">
        <v>47700</v>
      </c>
    </row>
    <row r="164" spans="2:20" s="53" customFormat="1" ht="74.25" hidden="1" customHeight="1">
      <c r="B164" s="92">
        <v>244</v>
      </c>
      <c r="C164" s="92">
        <v>4</v>
      </c>
      <c r="D164" s="222" t="s">
        <v>270</v>
      </c>
      <c r="E164" s="134">
        <v>1</v>
      </c>
      <c r="F164" s="141">
        <v>0</v>
      </c>
      <c r="G164" s="141">
        <f t="shared" si="5"/>
        <v>0</v>
      </c>
      <c r="H164" s="273" t="s">
        <v>9</v>
      </c>
      <c r="I164" s="273"/>
      <c r="J164" s="273" t="s">
        <v>9</v>
      </c>
      <c r="K164" s="273"/>
      <c r="L164" s="134" t="s">
        <v>9</v>
      </c>
      <c r="M164" s="134" t="s">
        <v>9</v>
      </c>
      <c r="N164" s="134" t="s">
        <v>9</v>
      </c>
      <c r="O164" s="215"/>
      <c r="P164" s="215"/>
      <c r="Q164" s="125"/>
      <c r="S164" s="86" t="s">
        <v>7</v>
      </c>
      <c r="T164" s="117">
        <f>SUM(T160:T163)</f>
        <v>116108.5</v>
      </c>
    </row>
    <row r="165" spans="2:20" s="53" customFormat="1" ht="37.5" customHeight="1">
      <c r="B165" s="148">
        <v>244</v>
      </c>
      <c r="C165" s="148">
        <v>4</v>
      </c>
      <c r="D165" s="222" t="s">
        <v>431</v>
      </c>
      <c r="E165" s="134">
        <v>1</v>
      </c>
      <c r="F165" s="251">
        <v>1500</v>
      </c>
      <c r="G165" s="141">
        <f t="shared" si="5"/>
        <v>1500</v>
      </c>
      <c r="H165" s="273" t="s">
        <v>9</v>
      </c>
      <c r="I165" s="273"/>
      <c r="J165" s="273" t="s">
        <v>9</v>
      </c>
      <c r="K165" s="273"/>
      <c r="L165" s="134" t="s">
        <v>9</v>
      </c>
      <c r="M165" s="134" t="s">
        <v>9</v>
      </c>
      <c r="N165" s="134" t="s">
        <v>9</v>
      </c>
      <c r="O165" s="215"/>
      <c r="P165" s="215"/>
      <c r="Q165" s="125"/>
      <c r="S165" s="86"/>
      <c r="T165" s="110"/>
    </row>
    <row r="166" spans="2:20" s="53" customFormat="1" ht="37.5" customHeight="1">
      <c r="B166" s="121">
        <v>244</v>
      </c>
      <c r="C166" s="121">
        <v>5</v>
      </c>
      <c r="D166" s="222" t="s">
        <v>372</v>
      </c>
      <c r="E166" s="134">
        <v>1</v>
      </c>
      <c r="F166" s="251">
        <v>6000</v>
      </c>
      <c r="G166" s="141">
        <f t="shared" si="5"/>
        <v>6000</v>
      </c>
      <c r="H166" s="273" t="s">
        <v>9</v>
      </c>
      <c r="I166" s="273"/>
      <c r="J166" s="273" t="s">
        <v>9</v>
      </c>
      <c r="K166" s="273"/>
      <c r="L166" s="134" t="s">
        <v>9</v>
      </c>
      <c r="M166" s="134" t="s">
        <v>9</v>
      </c>
      <c r="N166" s="134" t="s">
        <v>9</v>
      </c>
      <c r="O166" s="215"/>
      <c r="P166" s="215"/>
      <c r="Q166" s="125"/>
      <c r="S166" s="86"/>
      <c r="T166" s="110"/>
    </row>
    <row r="167" spans="2:20" s="53" customFormat="1" ht="132" hidden="1" customHeight="1">
      <c r="B167" s="121">
        <v>243</v>
      </c>
      <c r="C167" s="121">
        <v>8</v>
      </c>
      <c r="D167" s="227" t="s">
        <v>370</v>
      </c>
      <c r="E167" s="134">
        <v>1</v>
      </c>
      <c r="F167" s="251"/>
      <c r="G167" s="141">
        <f>F167</f>
        <v>0</v>
      </c>
      <c r="H167" s="273" t="s">
        <v>9</v>
      </c>
      <c r="I167" s="273"/>
      <c r="J167" s="273" t="s">
        <v>9</v>
      </c>
      <c r="K167" s="273"/>
      <c r="L167" s="134" t="s">
        <v>9</v>
      </c>
      <c r="M167" s="134" t="s">
        <v>9</v>
      </c>
      <c r="N167" s="134" t="s">
        <v>9</v>
      </c>
      <c r="O167" s="215"/>
      <c r="P167" s="215"/>
      <c r="Q167" s="125"/>
      <c r="S167" s="86"/>
      <c r="T167" s="110"/>
    </row>
    <row r="168" spans="2:20" s="53" customFormat="1" ht="34.5" hidden="1" customHeight="1">
      <c r="B168" s="174">
        <v>243</v>
      </c>
      <c r="C168" s="174">
        <v>9</v>
      </c>
      <c r="D168" s="227" t="s">
        <v>375</v>
      </c>
      <c r="E168" s="134">
        <v>1</v>
      </c>
      <c r="F168" s="141"/>
      <c r="G168" s="141">
        <f>F168</f>
        <v>0</v>
      </c>
      <c r="H168" s="273" t="s">
        <v>9</v>
      </c>
      <c r="I168" s="273"/>
      <c r="J168" s="273" t="s">
        <v>9</v>
      </c>
      <c r="K168" s="273"/>
      <c r="L168" s="134" t="s">
        <v>9</v>
      </c>
      <c r="M168" s="134" t="s">
        <v>9</v>
      </c>
      <c r="N168" s="134" t="s">
        <v>9</v>
      </c>
      <c r="O168" s="215"/>
      <c r="P168" s="215"/>
      <c r="Q168" s="125"/>
      <c r="S168" s="86"/>
      <c r="T168" s="110"/>
    </row>
    <row r="169" spans="2:20" s="53" customFormat="1" ht="95.25" hidden="1" customHeight="1">
      <c r="B169" s="92">
        <v>243</v>
      </c>
      <c r="C169" s="92">
        <v>10</v>
      </c>
      <c r="D169" s="227" t="s">
        <v>371</v>
      </c>
      <c r="E169" s="134">
        <v>1</v>
      </c>
      <c r="F169" s="141"/>
      <c r="G169" s="141">
        <f t="shared" ref="G169:G170" si="6">E169*F169</f>
        <v>0</v>
      </c>
      <c r="H169" s="273" t="s">
        <v>9</v>
      </c>
      <c r="I169" s="273"/>
      <c r="J169" s="273" t="s">
        <v>9</v>
      </c>
      <c r="K169" s="273"/>
      <c r="L169" s="134" t="s">
        <v>9</v>
      </c>
      <c r="M169" s="134" t="s">
        <v>9</v>
      </c>
      <c r="N169" s="134" t="s">
        <v>9</v>
      </c>
      <c r="O169" s="215"/>
      <c r="P169" s="215"/>
      <c r="Q169" s="125"/>
      <c r="T169" s="53" t="b">
        <f>G172=T164</f>
        <v>1</v>
      </c>
    </row>
    <row r="170" spans="2:20" s="53" customFormat="1" ht="72" hidden="1" customHeight="1" outlineLevel="1">
      <c r="B170" s="92">
        <v>244</v>
      </c>
      <c r="C170" s="92">
        <v>11</v>
      </c>
      <c r="D170" s="222" t="s">
        <v>377</v>
      </c>
      <c r="E170" s="134">
        <v>1</v>
      </c>
      <c r="F170" s="134"/>
      <c r="G170" s="141">
        <f t="shared" si="6"/>
        <v>0</v>
      </c>
      <c r="H170" s="303" t="s">
        <v>9</v>
      </c>
      <c r="I170" s="304"/>
      <c r="J170" s="303" t="s">
        <v>9</v>
      </c>
      <c r="K170" s="304"/>
      <c r="L170" s="134" t="s">
        <v>9</v>
      </c>
      <c r="M170" s="134" t="s">
        <v>9</v>
      </c>
      <c r="N170" s="134" t="s">
        <v>9</v>
      </c>
      <c r="O170" s="215"/>
      <c r="P170" s="215"/>
      <c r="Q170" s="125"/>
    </row>
    <row r="171" spans="2:20" s="53" customFormat="1" ht="83.25" hidden="1" customHeight="1" outlineLevel="1">
      <c r="B171" s="174"/>
      <c r="C171" s="174"/>
      <c r="D171" s="250"/>
      <c r="E171" s="174">
        <v>1</v>
      </c>
      <c r="F171" s="174"/>
      <c r="G171" s="251">
        <f t="shared" si="5"/>
        <v>0</v>
      </c>
      <c r="H171" s="307" t="s">
        <v>9</v>
      </c>
      <c r="I171" s="307"/>
      <c r="J171" s="307" t="s">
        <v>9</v>
      </c>
      <c r="K171" s="307"/>
      <c r="L171" s="174" t="s">
        <v>9</v>
      </c>
      <c r="M171" s="174" t="s">
        <v>9</v>
      </c>
      <c r="N171" s="174" t="s">
        <v>9</v>
      </c>
      <c r="O171" s="61"/>
      <c r="P171" s="61"/>
    </row>
    <row r="172" spans="2:20" s="53" customFormat="1" ht="15.75" customHeight="1" collapsed="1">
      <c r="B172" s="92"/>
      <c r="C172" s="285" t="s">
        <v>23</v>
      </c>
      <c r="D172" s="286"/>
      <c r="E172" s="135" t="s">
        <v>9</v>
      </c>
      <c r="F172" s="135" t="s">
        <v>9</v>
      </c>
      <c r="G172" s="225">
        <f>SUM(G160:G171)</f>
        <v>116108.5</v>
      </c>
      <c r="H172" s="282">
        <f>T160</f>
        <v>68408.5</v>
      </c>
      <c r="I172" s="282"/>
      <c r="J172" s="282">
        <f>T163</f>
        <v>47700</v>
      </c>
      <c r="K172" s="282"/>
      <c r="L172" s="142">
        <v>0</v>
      </c>
      <c r="M172" s="142">
        <f>T162</f>
        <v>0</v>
      </c>
      <c r="N172" s="155">
        <v>0</v>
      </c>
      <c r="O172" s="213"/>
      <c r="P172" s="213"/>
      <c r="Q172" s="194">
        <f>SUM(H172:M172)</f>
        <v>116108.5</v>
      </c>
      <c r="R172" s="69">
        <f>G172-Q172</f>
        <v>0</v>
      </c>
    </row>
    <row r="173" spans="2:20" s="53" customFormat="1" ht="15.75">
      <c r="B173" s="55"/>
      <c r="C173" s="52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228"/>
      <c r="O173" s="228"/>
      <c r="P173" s="228"/>
      <c r="Q173" s="125" t="b">
        <f>G172=Q172</f>
        <v>1</v>
      </c>
    </row>
    <row r="174" spans="2:20" s="53" customFormat="1" ht="25.5" customHeight="1">
      <c r="B174" s="52"/>
      <c r="C174" s="281" t="s">
        <v>288</v>
      </c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127"/>
      <c r="O174" s="127"/>
      <c r="P174" s="127"/>
      <c r="Q174" s="125"/>
    </row>
    <row r="175" spans="2:20" s="53" customFormat="1" ht="15.75">
      <c r="B175" s="52"/>
      <c r="C175" s="52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5"/>
    </row>
    <row r="176" spans="2:20" s="53" customFormat="1" ht="31.5" customHeight="1">
      <c r="B176" s="295" t="s">
        <v>188</v>
      </c>
      <c r="C176" s="295" t="s">
        <v>2</v>
      </c>
      <c r="D176" s="278" t="s">
        <v>24</v>
      </c>
      <c r="E176" s="278" t="s">
        <v>233</v>
      </c>
      <c r="F176" s="278" t="s">
        <v>234</v>
      </c>
      <c r="G176" s="187" t="s">
        <v>232</v>
      </c>
      <c r="H176" s="278" t="s">
        <v>190</v>
      </c>
      <c r="I176" s="278"/>
      <c r="J176" s="278"/>
      <c r="K176" s="278"/>
      <c r="L176" s="278"/>
      <c r="M176" s="278"/>
      <c r="N176" s="278"/>
      <c r="O176" s="213"/>
      <c r="P176" s="213"/>
      <c r="Q176" s="125"/>
    </row>
    <row r="177" spans="2:20" s="53" customFormat="1" ht="100.5" customHeight="1">
      <c r="B177" s="295"/>
      <c r="C177" s="295"/>
      <c r="D177" s="278"/>
      <c r="E177" s="278"/>
      <c r="F177" s="278"/>
      <c r="G177" s="305" t="s">
        <v>236</v>
      </c>
      <c r="H177" s="278" t="s">
        <v>191</v>
      </c>
      <c r="I177" s="278"/>
      <c r="J177" s="302" t="s">
        <v>192</v>
      </c>
      <c r="K177" s="302"/>
      <c r="L177" s="288" t="s">
        <v>193</v>
      </c>
      <c r="M177" s="288" t="s">
        <v>194</v>
      </c>
      <c r="N177" s="288"/>
      <c r="O177" s="213"/>
      <c r="P177" s="202"/>
      <c r="Q177" s="125"/>
    </row>
    <row r="178" spans="2:20" s="53" customFormat="1" ht="15.75" customHeight="1">
      <c r="B178" s="295"/>
      <c r="C178" s="295"/>
      <c r="D178" s="278"/>
      <c r="E178" s="278"/>
      <c r="F178" s="278"/>
      <c r="G178" s="306"/>
      <c r="H178" s="278"/>
      <c r="I178" s="278"/>
      <c r="J178" s="302"/>
      <c r="K178" s="302"/>
      <c r="L178" s="288"/>
      <c r="M178" s="185" t="s">
        <v>14</v>
      </c>
      <c r="N178" s="185" t="s">
        <v>195</v>
      </c>
      <c r="O178" s="202"/>
      <c r="P178" s="202"/>
      <c r="Q178" s="125"/>
    </row>
    <row r="179" spans="2:20" s="53" customFormat="1" ht="15.75">
      <c r="B179" s="91">
        <v>1</v>
      </c>
      <c r="C179" s="91">
        <v>2</v>
      </c>
      <c r="D179" s="187">
        <v>3</v>
      </c>
      <c r="E179" s="187">
        <v>4</v>
      </c>
      <c r="F179" s="187">
        <v>5</v>
      </c>
      <c r="G179" s="187">
        <v>6</v>
      </c>
      <c r="H179" s="278">
        <v>7</v>
      </c>
      <c r="I179" s="278"/>
      <c r="J179" s="278">
        <v>8</v>
      </c>
      <c r="K179" s="278"/>
      <c r="L179" s="187">
        <v>9</v>
      </c>
      <c r="M179" s="187">
        <v>10</v>
      </c>
      <c r="N179" s="187">
        <v>11</v>
      </c>
      <c r="O179" s="202"/>
      <c r="P179" s="202"/>
      <c r="Q179" s="125"/>
      <c r="S179" s="53" t="s">
        <v>331</v>
      </c>
    </row>
    <row r="180" spans="2:20" s="53" customFormat="1" ht="31.5">
      <c r="B180" s="92">
        <v>244</v>
      </c>
      <c r="C180" s="92">
        <v>1</v>
      </c>
      <c r="D180" s="222" t="s">
        <v>271</v>
      </c>
      <c r="E180" s="134">
        <v>1</v>
      </c>
      <c r="F180" s="251">
        <v>9100</v>
      </c>
      <c r="G180" s="141">
        <f>E180*F180</f>
        <v>9100</v>
      </c>
      <c r="H180" s="273" t="s">
        <v>9</v>
      </c>
      <c r="I180" s="273"/>
      <c r="J180" s="273" t="s">
        <v>9</v>
      </c>
      <c r="K180" s="273"/>
      <c r="L180" s="134" t="s">
        <v>9</v>
      </c>
      <c r="M180" s="134" t="s">
        <v>9</v>
      </c>
      <c r="N180" s="134" t="s">
        <v>9</v>
      </c>
      <c r="O180" s="215"/>
      <c r="P180" s="215"/>
      <c r="Q180" s="144" t="s">
        <v>301</v>
      </c>
      <c r="R180" s="49"/>
      <c r="S180" s="86" t="s">
        <v>296</v>
      </c>
      <c r="T180" s="116">
        <v>18391394.969999999</v>
      </c>
    </row>
    <row r="181" spans="2:20" s="53" customFormat="1" ht="18.75" hidden="1" customHeight="1">
      <c r="B181" s="92">
        <v>244</v>
      </c>
      <c r="C181" s="92" t="s">
        <v>175</v>
      </c>
      <c r="D181" s="222" t="s">
        <v>397</v>
      </c>
      <c r="E181" s="134">
        <v>1</v>
      </c>
      <c r="F181" s="141">
        <v>0</v>
      </c>
      <c r="G181" s="141">
        <f>E181*F181</f>
        <v>0</v>
      </c>
      <c r="H181" s="273" t="s">
        <v>9</v>
      </c>
      <c r="I181" s="273"/>
      <c r="J181" s="273" t="s">
        <v>9</v>
      </c>
      <c r="K181" s="273"/>
      <c r="L181" s="134" t="s">
        <v>9</v>
      </c>
      <c r="M181" s="134" t="s">
        <v>9</v>
      </c>
      <c r="N181" s="134" t="s">
        <v>9</v>
      </c>
      <c r="O181" s="215"/>
      <c r="P181" s="215"/>
      <c r="Q181" s="125"/>
      <c r="S181" s="86" t="s">
        <v>290</v>
      </c>
      <c r="T181" s="86">
        <v>0</v>
      </c>
    </row>
    <row r="182" spans="2:20" s="53" customFormat="1" ht="88.5" customHeight="1">
      <c r="B182" s="92">
        <v>244</v>
      </c>
      <c r="C182" s="92">
        <v>3</v>
      </c>
      <c r="D182" s="222" t="s">
        <v>272</v>
      </c>
      <c r="E182" s="134">
        <v>1</v>
      </c>
      <c r="F182" s="251">
        <v>26250</v>
      </c>
      <c r="G182" s="141">
        <f t="shared" ref="G182:G187" si="7">E182*F182</f>
        <v>26250</v>
      </c>
      <c r="H182" s="273" t="s">
        <v>9</v>
      </c>
      <c r="I182" s="273"/>
      <c r="J182" s="273" t="s">
        <v>9</v>
      </c>
      <c r="K182" s="273"/>
      <c r="L182" s="134" t="s">
        <v>9</v>
      </c>
      <c r="M182" s="134" t="s">
        <v>9</v>
      </c>
      <c r="N182" s="134" t="s">
        <v>9</v>
      </c>
      <c r="O182" s="215"/>
      <c r="P182" s="215"/>
      <c r="Q182" s="125"/>
      <c r="S182" s="86" t="s">
        <v>304</v>
      </c>
      <c r="T182" s="110">
        <v>274852</v>
      </c>
    </row>
    <row r="183" spans="2:20" s="53" customFormat="1" ht="55.5" customHeight="1">
      <c r="B183" s="92">
        <v>244</v>
      </c>
      <c r="C183" s="92">
        <v>4</v>
      </c>
      <c r="D183" s="222" t="s">
        <v>273</v>
      </c>
      <c r="E183" s="134">
        <v>1</v>
      </c>
      <c r="F183" s="251">
        <v>2000</v>
      </c>
      <c r="G183" s="141">
        <f t="shared" si="7"/>
        <v>2000</v>
      </c>
      <c r="H183" s="273" t="s">
        <v>9</v>
      </c>
      <c r="I183" s="273"/>
      <c r="J183" s="273" t="s">
        <v>9</v>
      </c>
      <c r="K183" s="273"/>
      <c r="L183" s="134" t="s">
        <v>9</v>
      </c>
      <c r="M183" s="134" t="s">
        <v>9</v>
      </c>
      <c r="N183" s="134" t="s">
        <v>9</v>
      </c>
      <c r="O183" s="215"/>
      <c r="P183" s="215"/>
      <c r="Q183" s="125"/>
      <c r="S183" s="86" t="s">
        <v>7</v>
      </c>
      <c r="T183" s="117">
        <f>SUM(T179:T182)</f>
        <v>18666246.969999999</v>
      </c>
    </row>
    <row r="184" spans="2:20" s="53" customFormat="1" ht="18" customHeight="1">
      <c r="B184" s="92">
        <v>244</v>
      </c>
      <c r="C184" s="92">
        <v>5</v>
      </c>
      <c r="D184" s="222" t="s">
        <v>274</v>
      </c>
      <c r="E184" s="134">
        <v>1</v>
      </c>
      <c r="F184" s="251">
        <v>23097.599999999999</v>
      </c>
      <c r="G184" s="141">
        <f t="shared" si="7"/>
        <v>23097.599999999999</v>
      </c>
      <c r="H184" s="273" t="s">
        <v>9</v>
      </c>
      <c r="I184" s="273"/>
      <c r="J184" s="273" t="s">
        <v>9</v>
      </c>
      <c r="K184" s="273"/>
      <c r="L184" s="134" t="s">
        <v>9</v>
      </c>
      <c r="M184" s="134" t="s">
        <v>9</v>
      </c>
      <c r="N184" s="134" t="s">
        <v>9</v>
      </c>
      <c r="O184" s="215"/>
      <c r="P184" s="215"/>
      <c r="Q184" s="125"/>
      <c r="T184" s="53" t="b">
        <f>G203=T183</f>
        <v>1</v>
      </c>
    </row>
    <row r="185" spans="2:20" s="53" customFormat="1" ht="31.5" hidden="1">
      <c r="B185" s="92">
        <v>244</v>
      </c>
      <c r="C185" s="92">
        <v>6</v>
      </c>
      <c r="D185" s="222" t="s">
        <v>275</v>
      </c>
      <c r="E185" s="134">
        <v>1</v>
      </c>
      <c r="F185" s="141">
        <v>0</v>
      </c>
      <c r="G185" s="141">
        <f>E185*F185</f>
        <v>0</v>
      </c>
      <c r="H185" s="273" t="s">
        <v>9</v>
      </c>
      <c r="I185" s="273"/>
      <c r="J185" s="273" t="s">
        <v>9</v>
      </c>
      <c r="K185" s="273"/>
      <c r="L185" s="134" t="s">
        <v>9</v>
      </c>
      <c r="M185" s="134" t="s">
        <v>9</v>
      </c>
      <c r="N185" s="134" t="s">
        <v>9</v>
      </c>
      <c r="O185" s="215"/>
      <c r="P185" s="215"/>
      <c r="Q185" s="125"/>
    </row>
    <row r="186" spans="2:20" s="53" customFormat="1" ht="15.75">
      <c r="B186" s="114">
        <v>244</v>
      </c>
      <c r="C186" s="114">
        <v>7</v>
      </c>
      <c r="D186" s="222" t="s">
        <v>433</v>
      </c>
      <c r="E186" s="134">
        <v>1</v>
      </c>
      <c r="F186" s="141">
        <v>18348589.399999999</v>
      </c>
      <c r="G186" s="141">
        <f t="shared" ref="G186" si="8">E186*F186</f>
        <v>18348589.399999999</v>
      </c>
      <c r="H186" s="273" t="s">
        <v>9</v>
      </c>
      <c r="I186" s="273"/>
      <c r="J186" s="273" t="s">
        <v>9</v>
      </c>
      <c r="K186" s="273"/>
      <c r="L186" s="134" t="s">
        <v>9</v>
      </c>
      <c r="M186" s="134" t="s">
        <v>9</v>
      </c>
      <c r="N186" s="134" t="s">
        <v>9</v>
      </c>
      <c r="O186" s="215"/>
      <c r="P186" s="215"/>
      <c r="Q186" s="125"/>
    </row>
    <row r="187" spans="2:20" s="53" customFormat="1" ht="33.75" customHeight="1">
      <c r="B187" s="92">
        <v>244</v>
      </c>
      <c r="C187" s="114" t="s">
        <v>268</v>
      </c>
      <c r="D187" s="222" t="s">
        <v>432</v>
      </c>
      <c r="E187" s="134">
        <v>1</v>
      </c>
      <c r="F187" s="251">
        <v>16500</v>
      </c>
      <c r="G187" s="141">
        <f t="shared" si="7"/>
        <v>16500</v>
      </c>
      <c r="H187" s="273" t="s">
        <v>9</v>
      </c>
      <c r="I187" s="273"/>
      <c r="J187" s="273" t="s">
        <v>9</v>
      </c>
      <c r="K187" s="273"/>
      <c r="L187" s="134" t="s">
        <v>9</v>
      </c>
      <c r="M187" s="134" t="s">
        <v>9</v>
      </c>
      <c r="N187" s="134" t="s">
        <v>9</v>
      </c>
      <c r="O187" s="215"/>
      <c r="P187" s="215"/>
      <c r="Q187" s="125"/>
    </row>
    <row r="188" spans="2:20" s="53" customFormat="1" ht="52.5" hidden="1" customHeight="1" outlineLevel="1">
      <c r="B188" s="92">
        <v>244</v>
      </c>
      <c r="C188" s="92">
        <v>7</v>
      </c>
      <c r="D188" s="222" t="s">
        <v>418</v>
      </c>
      <c r="E188" s="134">
        <v>1</v>
      </c>
      <c r="F188" s="141">
        <v>0</v>
      </c>
      <c r="G188" s="141">
        <f t="shared" ref="G188:G192" si="9">E188*F188</f>
        <v>0</v>
      </c>
      <c r="H188" s="273" t="s">
        <v>9</v>
      </c>
      <c r="I188" s="273"/>
      <c r="J188" s="273" t="s">
        <v>9</v>
      </c>
      <c r="K188" s="273"/>
      <c r="L188" s="134" t="s">
        <v>9</v>
      </c>
      <c r="M188" s="134" t="s">
        <v>9</v>
      </c>
      <c r="N188" s="134" t="s">
        <v>9</v>
      </c>
      <c r="O188" s="215"/>
      <c r="P188" s="215"/>
      <c r="Q188" s="125"/>
    </row>
    <row r="189" spans="2:20" s="53" customFormat="1" ht="66.75" hidden="1" customHeight="1" outlineLevel="1">
      <c r="B189" s="174">
        <v>244</v>
      </c>
      <c r="C189" s="174">
        <v>8</v>
      </c>
      <c r="D189" s="222" t="s">
        <v>391</v>
      </c>
      <c r="E189" s="134">
        <v>1</v>
      </c>
      <c r="F189" s="141">
        <v>0</v>
      </c>
      <c r="G189" s="141">
        <f>F189</f>
        <v>0</v>
      </c>
      <c r="H189" s="273" t="s">
        <v>9</v>
      </c>
      <c r="I189" s="273"/>
      <c r="J189" s="273" t="s">
        <v>9</v>
      </c>
      <c r="K189" s="273"/>
      <c r="L189" s="134" t="s">
        <v>9</v>
      </c>
      <c r="M189" s="134" t="s">
        <v>9</v>
      </c>
      <c r="N189" s="134" t="s">
        <v>9</v>
      </c>
      <c r="O189" s="215"/>
      <c r="P189" s="215"/>
      <c r="Q189" s="125"/>
    </row>
    <row r="190" spans="2:20" s="53" customFormat="1" ht="163.15" customHeight="1" collapsed="1">
      <c r="B190" s="92">
        <v>244</v>
      </c>
      <c r="C190" s="114">
        <v>9</v>
      </c>
      <c r="D190" s="222" t="s">
        <v>276</v>
      </c>
      <c r="E190" s="134">
        <v>1</v>
      </c>
      <c r="F190" s="251">
        <v>235252</v>
      </c>
      <c r="G190" s="141">
        <f t="shared" si="9"/>
        <v>235252</v>
      </c>
      <c r="H190" s="273" t="s">
        <v>9</v>
      </c>
      <c r="I190" s="273"/>
      <c r="J190" s="273" t="s">
        <v>9</v>
      </c>
      <c r="K190" s="273"/>
      <c r="L190" s="134" t="s">
        <v>9</v>
      </c>
      <c r="M190" s="134" t="s">
        <v>9</v>
      </c>
      <c r="N190" s="134" t="s">
        <v>9</v>
      </c>
      <c r="O190" s="215"/>
      <c r="P190" s="215"/>
      <c r="Q190" s="125"/>
    </row>
    <row r="191" spans="2:20" s="53" customFormat="1" ht="128.25" hidden="1" customHeight="1">
      <c r="B191" s="92">
        <v>244</v>
      </c>
      <c r="C191" s="114">
        <v>10</v>
      </c>
      <c r="D191" s="222" t="s">
        <v>329</v>
      </c>
      <c r="E191" s="134">
        <v>1</v>
      </c>
      <c r="F191" s="141">
        <v>0</v>
      </c>
      <c r="G191" s="141">
        <f t="shared" si="9"/>
        <v>0</v>
      </c>
      <c r="H191" s="273" t="s">
        <v>9</v>
      </c>
      <c r="I191" s="273"/>
      <c r="J191" s="273" t="s">
        <v>9</v>
      </c>
      <c r="K191" s="273"/>
      <c r="L191" s="134" t="s">
        <v>9</v>
      </c>
      <c r="M191" s="134" t="s">
        <v>9</v>
      </c>
      <c r="N191" s="134" t="s">
        <v>9</v>
      </c>
      <c r="O191" s="215"/>
      <c r="P191" s="215"/>
      <c r="Q191" s="125"/>
    </row>
    <row r="192" spans="2:20" s="53" customFormat="1" ht="54.75" hidden="1" customHeight="1">
      <c r="B192" s="92">
        <v>243</v>
      </c>
      <c r="C192" s="114">
        <v>11</v>
      </c>
      <c r="D192" s="222" t="s">
        <v>419</v>
      </c>
      <c r="E192" s="134">
        <v>1</v>
      </c>
      <c r="F192" s="141">
        <v>0</v>
      </c>
      <c r="G192" s="141">
        <f t="shared" si="9"/>
        <v>0</v>
      </c>
      <c r="H192" s="273" t="s">
        <v>9</v>
      </c>
      <c r="I192" s="273"/>
      <c r="J192" s="273" t="s">
        <v>9</v>
      </c>
      <c r="K192" s="273"/>
      <c r="L192" s="134" t="s">
        <v>9</v>
      </c>
      <c r="M192" s="134" t="s">
        <v>9</v>
      </c>
      <c r="N192" s="134" t="s">
        <v>9</v>
      </c>
      <c r="O192" s="215"/>
      <c r="P192" s="215"/>
      <c r="Q192" s="125"/>
    </row>
    <row r="193" spans="2:18" s="53" customFormat="1" ht="102" hidden="1" customHeight="1">
      <c r="B193" s="79">
        <v>112</v>
      </c>
      <c r="C193" s="114">
        <v>11</v>
      </c>
      <c r="D193" s="209" t="s">
        <v>373</v>
      </c>
      <c r="E193" s="134">
        <v>1</v>
      </c>
      <c r="F193" s="141">
        <v>0</v>
      </c>
      <c r="G193" s="141">
        <f t="shared" ref="G193:G201" si="10">E193*F193</f>
        <v>0</v>
      </c>
      <c r="H193" s="273" t="s">
        <v>9</v>
      </c>
      <c r="I193" s="273"/>
      <c r="J193" s="273" t="s">
        <v>9</v>
      </c>
      <c r="K193" s="273"/>
      <c r="L193" s="134" t="s">
        <v>9</v>
      </c>
      <c r="M193" s="134" t="s">
        <v>9</v>
      </c>
      <c r="N193" s="134" t="s">
        <v>9</v>
      </c>
      <c r="O193" s="215"/>
      <c r="P193" s="215"/>
      <c r="Q193" s="125"/>
    </row>
    <row r="194" spans="2:18" s="53" customFormat="1" ht="127.5" hidden="1" customHeight="1">
      <c r="B194" s="79">
        <v>244</v>
      </c>
      <c r="C194" s="121">
        <v>14</v>
      </c>
      <c r="D194" s="191"/>
      <c r="E194" s="191"/>
      <c r="F194" s="192"/>
      <c r="G194" s="141">
        <v>0</v>
      </c>
      <c r="H194" s="273" t="s">
        <v>9</v>
      </c>
      <c r="I194" s="273"/>
      <c r="J194" s="273" t="s">
        <v>9</v>
      </c>
      <c r="K194" s="273"/>
      <c r="L194" s="134" t="s">
        <v>9</v>
      </c>
      <c r="M194" s="134" t="s">
        <v>9</v>
      </c>
      <c r="N194" s="134" t="s">
        <v>9</v>
      </c>
      <c r="O194" s="215"/>
      <c r="P194" s="215"/>
      <c r="Q194" s="125"/>
    </row>
    <row r="195" spans="2:18" s="53" customFormat="1" ht="30.75" hidden="1" customHeight="1">
      <c r="B195" s="79">
        <v>244</v>
      </c>
      <c r="C195" s="121">
        <v>9</v>
      </c>
      <c r="D195" s="227" t="s">
        <v>350</v>
      </c>
      <c r="E195" s="134">
        <v>1</v>
      </c>
      <c r="F195" s="141"/>
      <c r="G195" s="141">
        <f t="shared" si="10"/>
        <v>0</v>
      </c>
      <c r="H195" s="273" t="s">
        <v>9</v>
      </c>
      <c r="I195" s="273"/>
      <c r="J195" s="273" t="s">
        <v>9</v>
      </c>
      <c r="K195" s="273"/>
      <c r="L195" s="134" t="s">
        <v>9</v>
      </c>
      <c r="M195" s="134" t="s">
        <v>9</v>
      </c>
      <c r="N195" s="134" t="s">
        <v>9</v>
      </c>
      <c r="O195" s="215"/>
      <c r="P195" s="215"/>
      <c r="Q195" s="125"/>
    </row>
    <row r="196" spans="2:18" s="53" customFormat="1" ht="54.75" hidden="1" customHeight="1">
      <c r="B196" s="79">
        <v>244</v>
      </c>
      <c r="C196" s="121">
        <v>12</v>
      </c>
      <c r="D196" s="227" t="s">
        <v>390</v>
      </c>
      <c r="E196" s="134">
        <v>1</v>
      </c>
      <c r="F196" s="251">
        <v>0</v>
      </c>
      <c r="G196" s="141">
        <f t="shared" si="10"/>
        <v>0</v>
      </c>
      <c r="H196" s="273" t="s">
        <v>9</v>
      </c>
      <c r="I196" s="273"/>
      <c r="J196" s="273" t="s">
        <v>9</v>
      </c>
      <c r="K196" s="273"/>
      <c r="L196" s="134" t="s">
        <v>9</v>
      </c>
      <c r="M196" s="134" t="s">
        <v>9</v>
      </c>
      <c r="N196" s="134" t="s">
        <v>9</v>
      </c>
      <c r="O196" s="215"/>
      <c r="P196" s="215"/>
      <c r="Q196" s="125"/>
    </row>
    <row r="197" spans="2:18" s="53" customFormat="1" ht="30.75" customHeight="1">
      <c r="B197" s="79">
        <v>244</v>
      </c>
      <c r="C197" s="121">
        <v>13</v>
      </c>
      <c r="D197" s="229" t="s">
        <v>351</v>
      </c>
      <c r="E197" s="134">
        <v>1</v>
      </c>
      <c r="F197" s="251">
        <v>5457.97</v>
      </c>
      <c r="G197" s="141">
        <f t="shared" si="10"/>
        <v>5457.97</v>
      </c>
      <c r="H197" s="273" t="s">
        <v>9</v>
      </c>
      <c r="I197" s="273"/>
      <c r="J197" s="273" t="s">
        <v>9</v>
      </c>
      <c r="K197" s="273"/>
      <c r="L197" s="134" t="s">
        <v>9</v>
      </c>
      <c r="M197" s="134" t="s">
        <v>9</v>
      </c>
      <c r="N197" s="134" t="s">
        <v>9</v>
      </c>
      <c r="O197" s="215"/>
      <c r="P197" s="215"/>
      <c r="Q197" s="125"/>
    </row>
    <row r="198" spans="2:18" s="53" customFormat="1" ht="30.75" hidden="1" customHeight="1">
      <c r="B198" s="79">
        <v>244</v>
      </c>
      <c r="C198" s="121">
        <v>18</v>
      </c>
      <c r="D198" s="227" t="s">
        <v>383</v>
      </c>
      <c r="E198" s="134">
        <v>1</v>
      </c>
      <c r="F198" s="141"/>
      <c r="G198" s="141">
        <f t="shared" si="10"/>
        <v>0</v>
      </c>
      <c r="H198" s="273" t="s">
        <v>9</v>
      </c>
      <c r="I198" s="273"/>
      <c r="J198" s="273" t="s">
        <v>9</v>
      </c>
      <c r="K198" s="273"/>
      <c r="L198" s="134" t="s">
        <v>9</v>
      </c>
      <c r="M198" s="134" t="s">
        <v>9</v>
      </c>
      <c r="N198" s="134" t="s">
        <v>9</v>
      </c>
      <c r="O198" s="215"/>
      <c r="P198" s="215"/>
      <c r="Q198" s="125"/>
    </row>
    <row r="199" spans="2:18" s="53" customFormat="1" ht="84.75" hidden="1" customHeight="1">
      <c r="B199" s="79">
        <v>244</v>
      </c>
      <c r="C199" s="121">
        <v>19</v>
      </c>
      <c r="D199" s="227" t="s">
        <v>371</v>
      </c>
      <c r="E199" s="134">
        <v>1</v>
      </c>
      <c r="F199" s="141"/>
      <c r="G199" s="141">
        <f t="shared" si="10"/>
        <v>0</v>
      </c>
      <c r="H199" s="273" t="s">
        <v>9</v>
      </c>
      <c r="I199" s="273"/>
      <c r="J199" s="273" t="s">
        <v>9</v>
      </c>
      <c r="K199" s="273"/>
      <c r="L199" s="134" t="s">
        <v>9</v>
      </c>
      <c r="M199" s="134" t="s">
        <v>9</v>
      </c>
      <c r="N199" s="134" t="s">
        <v>9</v>
      </c>
      <c r="O199" s="215"/>
      <c r="P199" s="215"/>
      <c r="Q199" s="125"/>
    </row>
    <row r="200" spans="2:18" s="53" customFormat="1" ht="30.75" hidden="1" customHeight="1">
      <c r="B200" s="79">
        <v>244</v>
      </c>
      <c r="C200" s="148">
        <v>20</v>
      </c>
      <c r="D200" s="227" t="s">
        <v>356</v>
      </c>
      <c r="E200" s="134">
        <v>1</v>
      </c>
      <c r="F200" s="141"/>
      <c r="G200" s="141">
        <f t="shared" si="10"/>
        <v>0</v>
      </c>
      <c r="H200" s="273" t="s">
        <v>9</v>
      </c>
      <c r="I200" s="273"/>
      <c r="J200" s="273" t="s">
        <v>9</v>
      </c>
      <c r="K200" s="273"/>
      <c r="L200" s="134" t="s">
        <v>9</v>
      </c>
      <c r="M200" s="134" t="s">
        <v>9</v>
      </c>
      <c r="N200" s="134" t="s">
        <v>9</v>
      </c>
      <c r="O200" s="215"/>
      <c r="P200" s="215"/>
      <c r="Q200" s="125"/>
    </row>
    <row r="201" spans="2:18" s="53" customFormat="1" ht="43.5" hidden="1" customHeight="1">
      <c r="B201" s="79">
        <v>244</v>
      </c>
      <c r="C201" s="148">
        <v>21</v>
      </c>
      <c r="D201" s="227" t="s">
        <v>357</v>
      </c>
      <c r="E201" s="134">
        <v>1</v>
      </c>
      <c r="F201" s="141"/>
      <c r="G201" s="141">
        <f t="shared" si="10"/>
        <v>0</v>
      </c>
      <c r="H201" s="273" t="s">
        <v>9</v>
      </c>
      <c r="I201" s="273"/>
      <c r="J201" s="273" t="s">
        <v>9</v>
      </c>
      <c r="K201" s="273"/>
      <c r="L201" s="134" t="s">
        <v>9</v>
      </c>
      <c r="M201" s="134" t="s">
        <v>9</v>
      </c>
      <c r="N201" s="134" t="s">
        <v>9</v>
      </c>
      <c r="O201" s="215"/>
      <c r="P201" s="215"/>
      <c r="Q201" s="125"/>
    </row>
    <row r="202" spans="2:18" s="53" customFormat="1" ht="127.5" hidden="1" customHeight="1">
      <c r="B202" s="79">
        <v>113</v>
      </c>
      <c r="C202" s="114">
        <v>14</v>
      </c>
      <c r="D202" s="230" t="s">
        <v>330</v>
      </c>
      <c r="E202" s="134">
        <v>1</v>
      </c>
      <c r="F202" s="141"/>
      <c r="G202" s="141">
        <f t="shared" ref="G202" si="11">E202*F202</f>
        <v>0</v>
      </c>
      <c r="H202" s="273" t="s">
        <v>9</v>
      </c>
      <c r="I202" s="273"/>
      <c r="J202" s="273" t="s">
        <v>9</v>
      </c>
      <c r="K202" s="273"/>
      <c r="L202" s="134" t="s">
        <v>9</v>
      </c>
      <c r="M202" s="134" t="s">
        <v>9</v>
      </c>
      <c r="N202" s="134" t="s">
        <v>9</v>
      </c>
      <c r="O202" s="215"/>
      <c r="P202" s="215"/>
      <c r="Q202" s="125"/>
    </row>
    <row r="203" spans="2:18" s="53" customFormat="1" ht="15.75" customHeight="1">
      <c r="B203" s="112"/>
      <c r="C203" s="285" t="s">
        <v>23</v>
      </c>
      <c r="D203" s="286"/>
      <c r="E203" s="135" t="s">
        <v>9</v>
      </c>
      <c r="F203" s="135" t="s">
        <v>9</v>
      </c>
      <c r="G203" s="225">
        <f>SUM(G180:G202)</f>
        <v>18666246.969999999</v>
      </c>
      <c r="H203" s="282">
        <f>T180+T179</f>
        <v>18391394.969999999</v>
      </c>
      <c r="I203" s="282"/>
      <c r="J203" s="283">
        <f>T182</f>
        <v>274852</v>
      </c>
      <c r="K203" s="284"/>
      <c r="L203" s="142">
        <v>0</v>
      </c>
      <c r="M203" s="142">
        <f>T181</f>
        <v>0</v>
      </c>
      <c r="N203" s="155">
        <v>0</v>
      </c>
      <c r="O203" s="213"/>
      <c r="P203" s="213"/>
      <c r="Q203" s="194">
        <f>SUM(H203:M203)</f>
        <v>18666246.969999999</v>
      </c>
      <c r="R203" s="69">
        <f>Q203-G203</f>
        <v>0</v>
      </c>
    </row>
    <row r="204" spans="2:18" s="53" customFormat="1" ht="15.75">
      <c r="B204" s="52"/>
      <c r="C204" s="52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228"/>
      <c r="O204" s="228"/>
      <c r="P204" s="228"/>
      <c r="Q204" s="125" t="b">
        <f>G203=Q203</f>
        <v>1</v>
      </c>
    </row>
    <row r="205" spans="2:18" s="53" customFormat="1" ht="24" customHeight="1">
      <c r="B205" s="52"/>
      <c r="C205" s="281" t="s">
        <v>289</v>
      </c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127"/>
      <c r="O205" s="127"/>
      <c r="P205" s="127"/>
      <c r="Q205" s="125"/>
    </row>
    <row r="206" spans="2:18" s="53" customFormat="1" ht="15.75">
      <c r="B206" s="52"/>
      <c r="C206" s="52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5"/>
    </row>
    <row r="207" spans="2:18" s="53" customFormat="1" ht="31.5" customHeight="1">
      <c r="B207" s="295" t="s">
        <v>188</v>
      </c>
      <c r="C207" s="295" t="s">
        <v>2</v>
      </c>
      <c r="D207" s="278" t="s">
        <v>24</v>
      </c>
      <c r="E207" s="278" t="s">
        <v>242</v>
      </c>
      <c r="F207" s="278" t="s">
        <v>243</v>
      </c>
      <c r="G207" s="187" t="s">
        <v>205</v>
      </c>
      <c r="H207" s="278" t="s">
        <v>190</v>
      </c>
      <c r="I207" s="278"/>
      <c r="J207" s="278"/>
      <c r="K207" s="278"/>
      <c r="L207" s="278"/>
      <c r="M207" s="278"/>
      <c r="N207" s="278"/>
      <c r="O207" s="213"/>
      <c r="P207" s="213"/>
      <c r="Q207" s="125"/>
    </row>
    <row r="208" spans="2:18" s="53" customFormat="1" ht="99.75" customHeight="1">
      <c r="B208" s="295"/>
      <c r="C208" s="295"/>
      <c r="D208" s="278"/>
      <c r="E208" s="278"/>
      <c r="F208" s="278"/>
      <c r="G208" s="278" t="s">
        <v>236</v>
      </c>
      <c r="H208" s="278" t="s">
        <v>191</v>
      </c>
      <c r="I208" s="278"/>
      <c r="J208" s="302" t="s">
        <v>192</v>
      </c>
      <c r="K208" s="302"/>
      <c r="L208" s="288" t="s">
        <v>193</v>
      </c>
      <c r="M208" s="288" t="s">
        <v>194</v>
      </c>
      <c r="N208" s="288"/>
      <c r="O208" s="213"/>
      <c r="P208" s="202"/>
      <c r="Q208" s="125"/>
    </row>
    <row r="209" spans="2:18" s="53" customFormat="1" ht="15.75" customHeight="1">
      <c r="B209" s="295"/>
      <c r="C209" s="295"/>
      <c r="D209" s="278"/>
      <c r="E209" s="278"/>
      <c r="F209" s="278"/>
      <c r="G209" s="278"/>
      <c r="H209" s="278"/>
      <c r="I209" s="278"/>
      <c r="J209" s="302"/>
      <c r="K209" s="302"/>
      <c r="L209" s="288"/>
      <c r="M209" s="185" t="s">
        <v>14</v>
      </c>
      <c r="N209" s="185" t="s">
        <v>195</v>
      </c>
      <c r="O209" s="202"/>
      <c r="P209" s="202"/>
      <c r="Q209" s="125"/>
    </row>
    <row r="210" spans="2:18" s="53" customFormat="1" ht="15.75">
      <c r="B210" s="91">
        <v>1</v>
      </c>
      <c r="C210" s="91">
        <v>2</v>
      </c>
      <c r="D210" s="187">
        <v>3</v>
      </c>
      <c r="E210" s="187">
        <v>4</v>
      </c>
      <c r="F210" s="187">
        <v>5</v>
      </c>
      <c r="G210" s="187">
        <v>6</v>
      </c>
      <c r="H210" s="278">
        <v>7</v>
      </c>
      <c r="I210" s="278"/>
      <c r="J210" s="278">
        <v>8</v>
      </c>
      <c r="K210" s="278"/>
      <c r="L210" s="187">
        <v>9</v>
      </c>
      <c r="M210" s="187">
        <v>10</v>
      </c>
      <c r="N210" s="187">
        <v>11</v>
      </c>
      <c r="O210" s="202"/>
      <c r="P210" s="202"/>
      <c r="Q210" s="125"/>
    </row>
    <row r="211" spans="2:18" s="53" customFormat="1" ht="20.25" customHeight="1">
      <c r="B211" s="92"/>
      <c r="C211" s="92" t="s">
        <v>196</v>
      </c>
      <c r="D211" s="140"/>
      <c r="E211" s="163"/>
      <c r="F211" s="143"/>
      <c r="G211" s="143"/>
      <c r="H211" s="287" t="s">
        <v>9</v>
      </c>
      <c r="I211" s="287"/>
      <c r="J211" s="287" t="s">
        <v>9</v>
      </c>
      <c r="K211" s="287"/>
      <c r="L211" s="141" t="s">
        <v>9</v>
      </c>
      <c r="M211" s="141" t="s">
        <v>9</v>
      </c>
      <c r="N211" s="141" t="s">
        <v>9</v>
      </c>
      <c r="O211" s="226"/>
      <c r="P211" s="226"/>
      <c r="Q211" s="125"/>
    </row>
    <row r="212" spans="2:18" s="50" customFormat="1" ht="15.75">
      <c r="B212" s="92"/>
      <c r="C212" s="285" t="s">
        <v>23</v>
      </c>
      <c r="D212" s="286"/>
      <c r="E212" s="142" t="s">
        <v>9</v>
      </c>
      <c r="F212" s="142" t="s">
        <v>9</v>
      </c>
      <c r="G212" s="142">
        <f>SUM(G211)</f>
        <v>0</v>
      </c>
      <c r="H212" s="283">
        <f>G212</f>
        <v>0</v>
      </c>
      <c r="I212" s="283"/>
      <c r="J212" s="283">
        <v>0</v>
      </c>
      <c r="K212" s="283"/>
      <c r="L212" s="142">
        <v>0</v>
      </c>
      <c r="M212" s="142">
        <v>0</v>
      </c>
      <c r="N212" s="142">
        <v>0</v>
      </c>
      <c r="O212" s="144"/>
      <c r="P212" s="144"/>
      <c r="Q212" s="144" t="s">
        <v>302</v>
      </c>
      <c r="R212" s="49"/>
    </row>
    <row r="213" spans="2:18" s="53" customFormat="1" ht="24" customHeight="1">
      <c r="B213" s="52"/>
      <c r="C213" s="281" t="s">
        <v>333</v>
      </c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127"/>
      <c r="O213" s="127"/>
      <c r="P213" s="127"/>
      <c r="Q213" s="125"/>
    </row>
    <row r="214" spans="2:18" s="53" customFormat="1" ht="15.75">
      <c r="B214" s="52"/>
      <c r="C214" s="52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5"/>
    </row>
    <row r="215" spans="2:18" s="53" customFormat="1" ht="31.5" customHeight="1">
      <c r="B215" s="295" t="s">
        <v>188</v>
      </c>
      <c r="C215" s="295" t="s">
        <v>2</v>
      </c>
      <c r="D215" s="278" t="s">
        <v>24</v>
      </c>
      <c r="E215" s="278" t="s">
        <v>242</v>
      </c>
      <c r="F215" s="278" t="s">
        <v>334</v>
      </c>
      <c r="G215" s="187" t="s">
        <v>205</v>
      </c>
      <c r="H215" s="278" t="s">
        <v>190</v>
      </c>
      <c r="I215" s="278"/>
      <c r="J215" s="278"/>
      <c r="K215" s="278"/>
      <c r="L215" s="278"/>
      <c r="M215" s="278"/>
      <c r="N215" s="278"/>
      <c r="O215" s="213"/>
      <c r="P215" s="213"/>
      <c r="Q215" s="125"/>
    </row>
    <row r="216" spans="2:18" s="53" customFormat="1" ht="99.75" customHeight="1">
      <c r="B216" s="295"/>
      <c r="C216" s="295"/>
      <c r="D216" s="278"/>
      <c r="E216" s="278"/>
      <c r="F216" s="278"/>
      <c r="G216" s="278" t="s">
        <v>236</v>
      </c>
      <c r="H216" s="278" t="s">
        <v>191</v>
      </c>
      <c r="I216" s="278"/>
      <c r="J216" s="302" t="s">
        <v>192</v>
      </c>
      <c r="K216" s="302"/>
      <c r="L216" s="288" t="s">
        <v>193</v>
      </c>
      <c r="M216" s="288" t="s">
        <v>194</v>
      </c>
      <c r="N216" s="288"/>
      <c r="O216" s="213"/>
      <c r="P216" s="202"/>
      <c r="Q216" s="125"/>
    </row>
    <row r="217" spans="2:18" s="53" customFormat="1" ht="15.75" customHeight="1">
      <c r="B217" s="295"/>
      <c r="C217" s="295"/>
      <c r="D217" s="278"/>
      <c r="E217" s="278"/>
      <c r="F217" s="278"/>
      <c r="G217" s="278"/>
      <c r="H217" s="278"/>
      <c r="I217" s="278"/>
      <c r="J217" s="302"/>
      <c r="K217" s="302"/>
      <c r="L217" s="288"/>
      <c r="M217" s="185" t="s">
        <v>14</v>
      </c>
      <c r="N217" s="185" t="s">
        <v>195</v>
      </c>
      <c r="O217" s="202"/>
      <c r="P217" s="202"/>
      <c r="Q217" s="125"/>
    </row>
    <row r="218" spans="2:18" s="53" customFormat="1" ht="15.75">
      <c r="B218" s="115">
        <v>1</v>
      </c>
      <c r="C218" s="115">
        <v>2</v>
      </c>
      <c r="D218" s="187">
        <v>3</v>
      </c>
      <c r="E218" s="187">
        <v>4</v>
      </c>
      <c r="F218" s="187">
        <v>5</v>
      </c>
      <c r="G218" s="187">
        <v>6</v>
      </c>
      <c r="H218" s="278">
        <v>7</v>
      </c>
      <c r="I218" s="278"/>
      <c r="J218" s="278">
        <v>8</v>
      </c>
      <c r="K218" s="278"/>
      <c r="L218" s="187">
        <v>9</v>
      </c>
      <c r="M218" s="187">
        <v>10</v>
      </c>
      <c r="N218" s="187">
        <v>11</v>
      </c>
      <c r="O218" s="202"/>
      <c r="P218" s="202"/>
      <c r="Q218" s="125"/>
    </row>
    <row r="219" spans="2:18" s="53" customFormat="1" ht="31.5" customHeight="1">
      <c r="B219" s="114">
        <v>244</v>
      </c>
      <c r="C219" s="114"/>
      <c r="D219" s="140"/>
      <c r="E219" s="163"/>
      <c r="F219" s="143"/>
      <c r="G219" s="143"/>
      <c r="H219" s="287" t="s">
        <v>9</v>
      </c>
      <c r="I219" s="287"/>
      <c r="J219" s="287" t="s">
        <v>9</v>
      </c>
      <c r="K219" s="287"/>
      <c r="L219" s="141" t="s">
        <v>9</v>
      </c>
      <c r="M219" s="141" t="s">
        <v>9</v>
      </c>
      <c r="N219" s="141" t="s">
        <v>9</v>
      </c>
      <c r="O219" s="226"/>
      <c r="P219" s="226"/>
      <c r="Q219" s="125"/>
    </row>
    <row r="220" spans="2:18" s="50" customFormat="1" ht="15.75">
      <c r="B220" s="114"/>
      <c r="C220" s="285" t="s">
        <v>23</v>
      </c>
      <c r="D220" s="286"/>
      <c r="E220" s="142" t="s">
        <v>9</v>
      </c>
      <c r="F220" s="142" t="s">
        <v>9</v>
      </c>
      <c r="G220" s="142">
        <f>SUM(G219)</f>
        <v>0</v>
      </c>
      <c r="H220" s="283"/>
      <c r="I220" s="283"/>
      <c r="J220" s="283">
        <f>G220</f>
        <v>0</v>
      </c>
      <c r="K220" s="283"/>
      <c r="L220" s="142"/>
      <c r="M220" s="142"/>
      <c r="N220" s="142"/>
      <c r="O220" s="144"/>
      <c r="P220" s="144"/>
      <c r="Q220" s="231"/>
    </row>
    <row r="221" spans="2:18" s="50" customFormat="1" ht="15.75" customHeight="1">
      <c r="B221" s="48"/>
      <c r="C221" s="48"/>
      <c r="D221" s="232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231"/>
    </row>
    <row r="222" spans="2:18" s="53" customFormat="1" ht="26.25" customHeight="1">
      <c r="B222" s="52"/>
      <c r="C222" s="281" t="s">
        <v>335</v>
      </c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127"/>
      <c r="O222" s="127"/>
      <c r="P222" s="127"/>
      <c r="Q222" s="125"/>
    </row>
    <row r="223" spans="2:18" s="53" customFormat="1" ht="6" customHeight="1">
      <c r="B223" s="52"/>
      <c r="C223" s="52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5"/>
    </row>
    <row r="224" spans="2:18" s="53" customFormat="1" ht="31.5" customHeight="1">
      <c r="B224" s="295" t="s">
        <v>188</v>
      </c>
      <c r="C224" s="295" t="s">
        <v>2</v>
      </c>
      <c r="D224" s="278" t="s">
        <v>24</v>
      </c>
      <c r="E224" s="278" t="s">
        <v>352</v>
      </c>
      <c r="F224" s="278" t="s">
        <v>235</v>
      </c>
      <c r="G224" s="187" t="s">
        <v>205</v>
      </c>
      <c r="H224" s="278" t="s">
        <v>190</v>
      </c>
      <c r="I224" s="278"/>
      <c r="J224" s="278"/>
      <c r="K224" s="278"/>
      <c r="L224" s="278"/>
      <c r="M224" s="278"/>
      <c r="N224" s="278"/>
      <c r="O224" s="213"/>
      <c r="P224" s="213"/>
      <c r="Q224" s="125" t="s">
        <v>420</v>
      </c>
    </row>
    <row r="225" spans="1:20" s="53" customFormat="1" ht="100.5" customHeight="1">
      <c r="B225" s="295"/>
      <c r="C225" s="295"/>
      <c r="D225" s="278"/>
      <c r="E225" s="278"/>
      <c r="F225" s="278"/>
      <c r="G225" s="278" t="s">
        <v>236</v>
      </c>
      <c r="H225" s="278" t="s">
        <v>191</v>
      </c>
      <c r="I225" s="278"/>
      <c r="J225" s="302" t="s">
        <v>192</v>
      </c>
      <c r="K225" s="302"/>
      <c r="L225" s="288" t="s">
        <v>193</v>
      </c>
      <c r="M225" s="288" t="s">
        <v>194</v>
      </c>
      <c r="N225" s="288"/>
      <c r="O225" s="213"/>
      <c r="P225" s="202"/>
      <c r="Q225" s="125"/>
    </row>
    <row r="226" spans="1:20" s="53" customFormat="1" ht="31.5">
      <c r="B226" s="295"/>
      <c r="C226" s="295"/>
      <c r="D226" s="278"/>
      <c r="E226" s="278"/>
      <c r="F226" s="278"/>
      <c r="G226" s="278"/>
      <c r="H226" s="278"/>
      <c r="I226" s="278"/>
      <c r="J226" s="302"/>
      <c r="K226" s="302"/>
      <c r="L226" s="288"/>
      <c r="M226" s="185" t="s">
        <v>14</v>
      </c>
      <c r="N226" s="185" t="s">
        <v>195</v>
      </c>
      <c r="O226" s="202"/>
      <c r="P226" s="202"/>
      <c r="Q226" s="125"/>
    </row>
    <row r="227" spans="1:20" s="53" customFormat="1" ht="15.75" customHeight="1">
      <c r="B227" s="91">
        <v>1</v>
      </c>
      <c r="C227" s="91">
        <v>2</v>
      </c>
      <c r="D227" s="187">
        <v>3</v>
      </c>
      <c r="E227" s="187">
        <v>4</v>
      </c>
      <c r="F227" s="187">
        <v>5</v>
      </c>
      <c r="G227" s="187">
        <v>6</v>
      </c>
      <c r="H227" s="278">
        <v>7</v>
      </c>
      <c r="I227" s="278"/>
      <c r="J227" s="278">
        <v>8</v>
      </c>
      <c r="K227" s="278"/>
      <c r="L227" s="187">
        <v>9</v>
      </c>
      <c r="M227" s="187">
        <v>10</v>
      </c>
      <c r="N227" s="187">
        <v>11</v>
      </c>
      <c r="O227" s="202"/>
      <c r="P227" s="202"/>
      <c r="Q227" s="125"/>
    </row>
    <row r="228" spans="1:20" s="53" customFormat="1" ht="32.25" customHeight="1">
      <c r="B228" s="115">
        <v>244</v>
      </c>
      <c r="C228" s="115">
        <v>1</v>
      </c>
      <c r="D228" s="233" t="s">
        <v>435</v>
      </c>
      <c r="E228" s="134">
        <v>1</v>
      </c>
      <c r="F228" s="249">
        <v>139000</v>
      </c>
      <c r="G228" s="141">
        <f t="shared" ref="G228:G229" si="12">E228*F228</f>
        <v>139000</v>
      </c>
      <c r="H228" s="279" t="s">
        <v>378</v>
      </c>
      <c r="I228" s="280"/>
      <c r="J228" s="279" t="s">
        <v>378</v>
      </c>
      <c r="K228" s="280"/>
      <c r="L228" s="187" t="s">
        <v>378</v>
      </c>
      <c r="M228" s="187" t="s">
        <v>378</v>
      </c>
      <c r="N228" s="187" t="s">
        <v>378</v>
      </c>
      <c r="O228" s="202"/>
      <c r="P228" s="202"/>
      <c r="Q228" s="125"/>
    </row>
    <row r="229" spans="1:20" s="53" customFormat="1" ht="30.75" hidden="1" customHeight="1">
      <c r="B229" s="115">
        <v>244</v>
      </c>
      <c r="C229" s="115">
        <v>2</v>
      </c>
      <c r="D229" s="233" t="s">
        <v>421</v>
      </c>
      <c r="E229" s="134">
        <v>1</v>
      </c>
      <c r="F229" s="141">
        <v>0</v>
      </c>
      <c r="G229" s="141">
        <f t="shared" si="12"/>
        <v>0</v>
      </c>
      <c r="H229" s="279" t="s">
        <v>378</v>
      </c>
      <c r="I229" s="280"/>
      <c r="J229" s="279" t="s">
        <v>378</v>
      </c>
      <c r="K229" s="280"/>
      <c r="L229" s="187" t="s">
        <v>378</v>
      </c>
      <c r="M229" s="187" t="s">
        <v>378</v>
      </c>
      <c r="N229" s="187" t="s">
        <v>378</v>
      </c>
      <c r="O229" s="202"/>
      <c r="P229" s="202"/>
      <c r="Q229" s="125"/>
    </row>
    <row r="230" spans="1:20" s="53" customFormat="1" ht="33" hidden="1" customHeight="1">
      <c r="B230" s="115">
        <v>244</v>
      </c>
      <c r="C230" s="115">
        <v>3</v>
      </c>
      <c r="D230" s="233" t="s">
        <v>422</v>
      </c>
      <c r="E230" s="134">
        <v>1</v>
      </c>
      <c r="F230" s="141">
        <v>0</v>
      </c>
      <c r="G230" s="141">
        <f t="shared" ref="G230:G239" si="13">E230*F230</f>
        <v>0</v>
      </c>
      <c r="H230" s="189"/>
      <c r="I230" s="190"/>
      <c r="J230" s="189"/>
      <c r="K230" s="190"/>
      <c r="L230" s="187"/>
      <c r="M230" s="187"/>
      <c r="N230" s="187"/>
      <c r="O230" s="202"/>
      <c r="P230" s="202"/>
      <c r="Q230" s="125"/>
      <c r="S230" s="53" t="s">
        <v>353</v>
      </c>
      <c r="T230" s="53">
        <v>0</v>
      </c>
    </row>
    <row r="231" spans="1:20" s="53" customFormat="1" ht="33.75" hidden="1" customHeight="1">
      <c r="B231" s="122">
        <v>244</v>
      </c>
      <c r="C231" s="122">
        <v>4</v>
      </c>
      <c r="D231" s="233" t="s">
        <v>423</v>
      </c>
      <c r="E231" s="134">
        <v>1</v>
      </c>
      <c r="F231" s="141">
        <v>0</v>
      </c>
      <c r="G231" s="141">
        <f t="shared" si="13"/>
        <v>0</v>
      </c>
      <c r="H231" s="189"/>
      <c r="I231" s="190"/>
      <c r="J231" s="189"/>
      <c r="K231" s="190"/>
      <c r="L231" s="187"/>
      <c r="M231" s="187"/>
      <c r="N231" s="187"/>
      <c r="O231" s="202"/>
      <c r="P231" s="202"/>
      <c r="Q231" s="125"/>
      <c r="S231" s="53" t="s">
        <v>304</v>
      </c>
      <c r="T231" s="53">
        <v>0</v>
      </c>
    </row>
    <row r="232" spans="1:20" s="53" customFormat="1" ht="15.75" hidden="1" customHeight="1">
      <c r="B232" s="122">
        <v>244</v>
      </c>
      <c r="C232" s="122">
        <v>5</v>
      </c>
      <c r="D232" s="233"/>
      <c r="E232" s="134">
        <v>1</v>
      </c>
      <c r="F232" s="141"/>
      <c r="G232" s="141">
        <f t="shared" si="13"/>
        <v>0</v>
      </c>
      <c r="H232" s="189"/>
      <c r="I232" s="190"/>
      <c r="J232" s="189"/>
      <c r="K232" s="190"/>
      <c r="L232" s="187"/>
      <c r="M232" s="187"/>
      <c r="N232" s="187"/>
      <c r="O232" s="202"/>
      <c r="P232" s="202"/>
      <c r="Q232" s="125"/>
    </row>
    <row r="233" spans="1:20" s="53" customFormat="1" ht="15.75" hidden="1" customHeight="1">
      <c r="B233" s="122">
        <v>244</v>
      </c>
      <c r="C233" s="122">
        <v>6</v>
      </c>
      <c r="D233" s="233"/>
      <c r="E233" s="134">
        <v>1</v>
      </c>
      <c r="F233" s="141"/>
      <c r="G233" s="141">
        <f t="shared" si="13"/>
        <v>0</v>
      </c>
      <c r="H233" s="189"/>
      <c r="I233" s="190"/>
      <c r="J233" s="189"/>
      <c r="K233" s="190"/>
      <c r="L233" s="187"/>
      <c r="M233" s="187"/>
      <c r="N233" s="187"/>
      <c r="O233" s="202"/>
      <c r="P233" s="202"/>
      <c r="Q233" s="125"/>
      <c r="S233" s="53" t="s">
        <v>382</v>
      </c>
      <c r="T233" s="53">
        <v>35389</v>
      </c>
    </row>
    <row r="234" spans="1:20" s="53" customFormat="1" ht="15.75" hidden="1" customHeight="1">
      <c r="B234" s="122">
        <v>244</v>
      </c>
      <c r="C234" s="122">
        <v>7</v>
      </c>
      <c r="D234" s="233"/>
      <c r="E234" s="134">
        <v>1</v>
      </c>
      <c r="F234" s="141"/>
      <c r="G234" s="141">
        <f t="shared" si="13"/>
        <v>0</v>
      </c>
      <c r="H234" s="189"/>
      <c r="I234" s="190"/>
      <c r="J234" s="189"/>
      <c r="K234" s="190"/>
      <c r="L234" s="187"/>
      <c r="M234" s="187"/>
      <c r="N234" s="187"/>
      <c r="O234" s="202"/>
      <c r="P234" s="202"/>
      <c r="Q234" s="125"/>
      <c r="S234" s="53" t="s">
        <v>354</v>
      </c>
      <c r="T234" s="53">
        <f>SUM(T230:T233)</f>
        <v>35389</v>
      </c>
    </row>
    <row r="235" spans="1:20" s="53" customFormat="1" ht="15.75" hidden="1" customHeight="1">
      <c r="B235" s="122">
        <v>244</v>
      </c>
      <c r="C235" s="122">
        <v>8</v>
      </c>
      <c r="D235" s="233"/>
      <c r="E235" s="134">
        <v>1</v>
      </c>
      <c r="F235" s="141"/>
      <c r="G235" s="141">
        <f t="shared" si="13"/>
        <v>0</v>
      </c>
      <c r="H235" s="189"/>
      <c r="I235" s="190"/>
      <c r="J235" s="189"/>
      <c r="K235" s="190"/>
      <c r="L235" s="187"/>
      <c r="M235" s="187"/>
      <c r="N235" s="187"/>
      <c r="O235" s="202"/>
      <c r="P235" s="202"/>
      <c r="Q235" s="125"/>
    </row>
    <row r="236" spans="1:20" s="53" customFormat="1" ht="15.75" hidden="1" customHeight="1">
      <c r="B236" s="122">
        <v>244</v>
      </c>
      <c r="C236" s="122">
        <v>9</v>
      </c>
      <c r="D236" s="233"/>
      <c r="E236" s="134">
        <v>1</v>
      </c>
      <c r="F236" s="141"/>
      <c r="G236" s="141">
        <f t="shared" si="13"/>
        <v>0</v>
      </c>
      <c r="H236" s="189"/>
      <c r="I236" s="190"/>
      <c r="J236" s="189"/>
      <c r="K236" s="190"/>
      <c r="L236" s="187"/>
      <c r="M236" s="187"/>
      <c r="N236" s="187"/>
      <c r="O236" s="202"/>
      <c r="P236" s="202"/>
      <c r="Q236" s="125"/>
    </row>
    <row r="237" spans="1:20" s="53" customFormat="1" ht="15.75" hidden="1" customHeight="1">
      <c r="A237" s="53">
        <v>4</v>
      </c>
      <c r="B237" s="122">
        <v>244</v>
      </c>
      <c r="C237" s="122"/>
      <c r="D237" s="233"/>
      <c r="E237" s="134"/>
      <c r="F237" s="141"/>
      <c r="G237" s="141">
        <f t="shared" si="13"/>
        <v>0</v>
      </c>
      <c r="H237" s="189"/>
      <c r="I237" s="190"/>
      <c r="J237" s="189"/>
      <c r="K237" s="190"/>
      <c r="L237" s="187"/>
      <c r="M237" s="187"/>
      <c r="N237" s="187"/>
      <c r="O237" s="202"/>
      <c r="P237" s="202"/>
      <c r="Q237" s="125"/>
    </row>
    <row r="238" spans="1:20" s="53" customFormat="1" ht="30.75" hidden="1" customHeight="1">
      <c r="B238" s="122">
        <v>244</v>
      </c>
      <c r="C238" s="122"/>
      <c r="D238" s="233"/>
      <c r="E238" s="134"/>
      <c r="F238" s="141"/>
      <c r="G238" s="141">
        <f t="shared" si="13"/>
        <v>0</v>
      </c>
      <c r="H238" s="189"/>
      <c r="I238" s="190"/>
      <c r="J238" s="189"/>
      <c r="K238" s="190"/>
      <c r="L238" s="187"/>
      <c r="M238" s="187"/>
      <c r="N238" s="187"/>
      <c r="O238" s="202"/>
      <c r="P238" s="202"/>
      <c r="Q238" s="125"/>
    </row>
    <row r="239" spans="1:20" s="53" customFormat="1" ht="30.75" hidden="1" customHeight="1">
      <c r="B239" s="149">
        <v>244</v>
      </c>
      <c r="C239" s="149"/>
      <c r="D239" s="233"/>
      <c r="E239" s="134"/>
      <c r="F239" s="141"/>
      <c r="G239" s="141">
        <f t="shared" si="13"/>
        <v>0</v>
      </c>
      <c r="H239" s="189"/>
      <c r="I239" s="190"/>
      <c r="J239" s="189"/>
      <c r="K239" s="190"/>
      <c r="L239" s="187"/>
      <c r="M239" s="187"/>
      <c r="N239" s="187"/>
      <c r="O239" s="202"/>
      <c r="P239" s="202"/>
      <c r="Q239" s="125"/>
    </row>
    <row r="240" spans="1:20" s="50" customFormat="1" ht="15.75">
      <c r="B240" s="74"/>
      <c r="C240" s="285" t="s">
        <v>23</v>
      </c>
      <c r="D240" s="286"/>
      <c r="E240" s="135" t="s">
        <v>9</v>
      </c>
      <c r="F240" s="135" t="s">
        <v>9</v>
      </c>
      <c r="G240" s="225">
        <f>SUM(G228:G231)</f>
        <v>139000</v>
      </c>
      <c r="H240" s="283">
        <v>0</v>
      </c>
      <c r="I240" s="283"/>
      <c r="J240" s="283">
        <f>G240</f>
        <v>139000</v>
      </c>
      <c r="K240" s="284"/>
      <c r="L240" s="225">
        <v>0</v>
      </c>
      <c r="M240" s="225">
        <v>0</v>
      </c>
      <c r="N240" s="225">
        <v>0</v>
      </c>
      <c r="O240" s="144"/>
      <c r="P240" s="144"/>
      <c r="Q240" s="231"/>
    </row>
    <row r="241" spans="2:21" s="53" customFormat="1" ht="15.75" customHeight="1">
      <c r="B241" s="52"/>
      <c r="C241" s="52"/>
      <c r="D241" s="127"/>
      <c r="E241" s="127"/>
      <c r="F241" s="147"/>
      <c r="G241" s="127"/>
      <c r="H241" s="147"/>
      <c r="I241" s="127"/>
      <c r="J241" s="147"/>
      <c r="K241" s="147"/>
      <c r="L241" s="127"/>
      <c r="M241" s="127"/>
      <c r="N241" s="127"/>
      <c r="O241" s="127"/>
      <c r="P241" s="127"/>
      <c r="Q241" s="125"/>
    </row>
    <row r="242" spans="2:21" s="53" customFormat="1" ht="24.75" customHeight="1">
      <c r="B242" s="52"/>
      <c r="C242" s="281" t="s">
        <v>336</v>
      </c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127"/>
      <c r="O242" s="127"/>
      <c r="P242" s="127"/>
      <c r="Q242" s="125"/>
    </row>
    <row r="243" spans="2:21" s="53" customFormat="1" ht="31.5" customHeight="1">
      <c r="B243" s="295" t="s">
        <v>188</v>
      </c>
      <c r="C243" s="295" t="s">
        <v>2</v>
      </c>
      <c r="D243" s="296" t="s">
        <v>24</v>
      </c>
      <c r="E243" s="297"/>
      <c r="F243" s="278" t="s">
        <v>37</v>
      </c>
      <c r="G243" s="278" t="s">
        <v>235</v>
      </c>
      <c r="H243" s="187" t="s">
        <v>205</v>
      </c>
      <c r="I243" s="278" t="s">
        <v>190</v>
      </c>
      <c r="J243" s="278"/>
      <c r="K243" s="278"/>
      <c r="L243" s="278"/>
      <c r="M243" s="278"/>
      <c r="N243" s="278"/>
      <c r="O243" s="278"/>
      <c r="P243" s="213"/>
      <c r="Q243" s="125"/>
    </row>
    <row r="244" spans="2:21" s="53" customFormat="1" ht="96.75" customHeight="1">
      <c r="B244" s="295"/>
      <c r="C244" s="295"/>
      <c r="D244" s="298"/>
      <c r="E244" s="299"/>
      <c r="F244" s="278"/>
      <c r="G244" s="278"/>
      <c r="H244" s="278" t="s">
        <v>236</v>
      </c>
      <c r="I244" s="278" t="s">
        <v>191</v>
      </c>
      <c r="J244" s="278"/>
      <c r="K244" s="302" t="s">
        <v>192</v>
      </c>
      <c r="L244" s="302"/>
      <c r="M244" s="288" t="s">
        <v>193</v>
      </c>
      <c r="N244" s="288" t="s">
        <v>194</v>
      </c>
      <c r="O244" s="288"/>
      <c r="P244" s="213"/>
      <c r="Q244" s="125"/>
    </row>
    <row r="245" spans="2:21" s="53" customFormat="1" ht="31.5">
      <c r="B245" s="295"/>
      <c r="C245" s="295"/>
      <c r="D245" s="300"/>
      <c r="E245" s="301"/>
      <c r="F245" s="278"/>
      <c r="G245" s="278"/>
      <c r="H245" s="278"/>
      <c r="I245" s="278"/>
      <c r="J245" s="278"/>
      <c r="K245" s="302"/>
      <c r="L245" s="302"/>
      <c r="M245" s="288"/>
      <c r="N245" s="185" t="s">
        <v>14</v>
      </c>
      <c r="O245" s="185" t="s">
        <v>195</v>
      </c>
      <c r="P245" s="202"/>
      <c r="Q245" s="125"/>
    </row>
    <row r="246" spans="2:21" s="53" customFormat="1" ht="25.9" customHeight="1">
      <c r="B246" s="91">
        <v>1</v>
      </c>
      <c r="C246" s="91">
        <v>2</v>
      </c>
      <c r="D246" s="279">
        <v>3</v>
      </c>
      <c r="E246" s="280"/>
      <c r="F246" s="187">
        <v>4</v>
      </c>
      <c r="G246" s="187">
        <v>5</v>
      </c>
      <c r="H246" s="187">
        <v>6</v>
      </c>
      <c r="I246" s="278">
        <v>7</v>
      </c>
      <c r="J246" s="278"/>
      <c r="K246" s="278">
        <v>8</v>
      </c>
      <c r="L246" s="278"/>
      <c r="M246" s="187">
        <v>9</v>
      </c>
      <c r="N246" s="187">
        <v>10</v>
      </c>
      <c r="O246" s="187">
        <v>11</v>
      </c>
      <c r="P246" s="202"/>
      <c r="Q246" s="125"/>
      <c r="U246" s="53" t="s">
        <v>325</v>
      </c>
    </row>
    <row r="247" spans="2:21" s="53" customFormat="1" ht="3.75" customHeight="1">
      <c r="B247" s="92">
        <v>244</v>
      </c>
      <c r="C247" s="92" t="s">
        <v>196</v>
      </c>
      <c r="D247" s="276" t="s">
        <v>277</v>
      </c>
      <c r="E247" s="277"/>
      <c r="F247" s="134">
        <f>ROUND((H247/G247),0)</f>
        <v>0</v>
      </c>
      <c r="G247" s="143">
        <v>170</v>
      </c>
      <c r="H247" s="143">
        <v>0</v>
      </c>
      <c r="I247" s="273" t="s">
        <v>9</v>
      </c>
      <c r="J247" s="273"/>
      <c r="K247" s="273" t="s">
        <v>9</v>
      </c>
      <c r="L247" s="273"/>
      <c r="M247" s="134" t="s">
        <v>9</v>
      </c>
      <c r="N247" s="134" t="s">
        <v>9</v>
      </c>
      <c r="O247" s="134" t="s">
        <v>9</v>
      </c>
      <c r="P247" s="215"/>
      <c r="Q247" s="144" t="s">
        <v>305</v>
      </c>
      <c r="R247" s="49"/>
      <c r="S247" s="86" t="s">
        <v>296</v>
      </c>
      <c r="T247" s="116">
        <v>10000</v>
      </c>
    </row>
    <row r="248" spans="2:21" s="53" customFormat="1" ht="17.25" customHeight="1">
      <c r="B248" s="92">
        <v>244</v>
      </c>
      <c r="C248" s="92">
        <v>1</v>
      </c>
      <c r="D248" s="276" t="s">
        <v>259</v>
      </c>
      <c r="E248" s="277"/>
      <c r="F248" s="134">
        <f t="shared" ref="F248:F250" si="14">ROUND((H248/G248),0)</f>
        <v>317437</v>
      </c>
      <c r="G248" s="143">
        <v>23.66</v>
      </c>
      <c r="H248" s="143">
        <v>7510547.7699999996</v>
      </c>
      <c r="I248" s="273" t="s">
        <v>9</v>
      </c>
      <c r="J248" s="273"/>
      <c r="K248" s="273" t="s">
        <v>9</v>
      </c>
      <c r="L248" s="273"/>
      <c r="M248" s="134" t="s">
        <v>9</v>
      </c>
      <c r="N248" s="134" t="s">
        <v>9</v>
      </c>
      <c r="O248" s="134" t="s">
        <v>9</v>
      </c>
      <c r="P248" s="215"/>
      <c r="Q248" s="144" t="s">
        <v>306</v>
      </c>
      <c r="R248" s="49"/>
      <c r="S248" s="86" t="s">
        <v>290</v>
      </c>
      <c r="T248" s="117">
        <v>2261657.08</v>
      </c>
    </row>
    <row r="249" spans="2:21" s="53" customFormat="1" ht="31.5" hidden="1" customHeight="1">
      <c r="B249" s="174">
        <v>244</v>
      </c>
      <c r="C249" s="174">
        <v>2</v>
      </c>
      <c r="D249" s="276" t="s">
        <v>403</v>
      </c>
      <c r="E249" s="277"/>
      <c r="F249" s="240">
        <v>1</v>
      </c>
      <c r="G249" s="143">
        <v>0</v>
      </c>
      <c r="H249" s="143">
        <f>G249</f>
        <v>0</v>
      </c>
      <c r="I249" s="273" t="s">
        <v>9</v>
      </c>
      <c r="J249" s="273"/>
      <c r="K249" s="273" t="s">
        <v>9</v>
      </c>
      <c r="L249" s="273"/>
      <c r="M249" s="240" t="s">
        <v>9</v>
      </c>
      <c r="N249" s="240" t="s">
        <v>9</v>
      </c>
      <c r="O249" s="240" t="s">
        <v>9</v>
      </c>
      <c r="P249" s="244"/>
      <c r="Q249" s="144" t="s">
        <v>404</v>
      </c>
      <c r="R249" s="49"/>
      <c r="S249" s="86" t="s">
        <v>304</v>
      </c>
      <c r="T249" s="116">
        <v>0</v>
      </c>
    </row>
    <row r="250" spans="2:21" s="53" customFormat="1" ht="31.5" customHeight="1">
      <c r="B250" s="92">
        <v>244</v>
      </c>
      <c r="C250" s="92">
        <v>3</v>
      </c>
      <c r="D250" s="276" t="s">
        <v>441</v>
      </c>
      <c r="E250" s="277"/>
      <c r="F250" s="134">
        <f t="shared" si="14"/>
        <v>31</v>
      </c>
      <c r="G250" s="143">
        <v>554.4</v>
      </c>
      <c r="H250" s="143">
        <v>17010</v>
      </c>
      <c r="I250" s="273" t="s">
        <v>9</v>
      </c>
      <c r="J250" s="273"/>
      <c r="K250" s="273" t="s">
        <v>9</v>
      </c>
      <c r="L250" s="273"/>
      <c r="M250" s="134" t="s">
        <v>9</v>
      </c>
      <c r="N250" s="134" t="s">
        <v>9</v>
      </c>
      <c r="O250" s="134" t="s">
        <v>9</v>
      </c>
      <c r="P250" s="202"/>
      <c r="Q250" s="144" t="s">
        <v>442</v>
      </c>
      <c r="R250" s="49"/>
      <c r="S250" s="86" t="s">
        <v>304</v>
      </c>
      <c r="T250" s="116">
        <v>5586447.7699999996</v>
      </c>
    </row>
    <row r="251" spans="2:21" s="53" customFormat="1" ht="30.75" customHeight="1">
      <c r="B251" s="92">
        <v>244</v>
      </c>
      <c r="C251" s="92">
        <v>4</v>
      </c>
      <c r="D251" s="276" t="s">
        <v>278</v>
      </c>
      <c r="E251" s="277"/>
      <c r="F251" s="134" t="s">
        <v>9</v>
      </c>
      <c r="G251" s="143" t="s">
        <v>9</v>
      </c>
      <c r="H251" s="143">
        <f>SUM(H252:H261)</f>
        <v>330547.08</v>
      </c>
      <c r="I251" s="273" t="s">
        <v>9</v>
      </c>
      <c r="J251" s="273"/>
      <c r="K251" s="273" t="s">
        <v>9</v>
      </c>
      <c r="L251" s="273"/>
      <c r="M251" s="134" t="s">
        <v>9</v>
      </c>
      <c r="N251" s="134" t="s">
        <v>9</v>
      </c>
      <c r="O251" s="134" t="s">
        <v>9</v>
      </c>
      <c r="P251" s="215"/>
      <c r="Q251" s="144" t="s">
        <v>307</v>
      </c>
      <c r="R251" s="49"/>
      <c r="S251" s="86" t="s">
        <v>7</v>
      </c>
      <c r="T251" s="117">
        <f>T247+T248+T250</f>
        <v>7858104.8499999996</v>
      </c>
      <c r="U251" s="53">
        <f>SUM(U247:U250)</f>
        <v>0</v>
      </c>
    </row>
    <row r="252" spans="2:21" s="53" customFormat="1" ht="25.5" customHeight="1">
      <c r="B252" s="92">
        <v>244</v>
      </c>
      <c r="C252" s="59" t="s">
        <v>408</v>
      </c>
      <c r="D252" s="274" t="s">
        <v>374</v>
      </c>
      <c r="E252" s="275"/>
      <c r="F252" s="134">
        <v>1</v>
      </c>
      <c r="G252" s="143">
        <v>10000</v>
      </c>
      <c r="H252" s="143">
        <f>G252</f>
        <v>10000</v>
      </c>
      <c r="I252" s="273" t="s">
        <v>9</v>
      </c>
      <c r="J252" s="273"/>
      <c r="K252" s="273" t="s">
        <v>9</v>
      </c>
      <c r="L252" s="273"/>
      <c r="M252" s="134" t="s">
        <v>9</v>
      </c>
      <c r="N252" s="134" t="s">
        <v>9</v>
      </c>
      <c r="O252" s="134" t="s">
        <v>9</v>
      </c>
      <c r="P252" s="215"/>
      <c r="Q252" s="125"/>
      <c r="T252" s="53" t="b">
        <f>H263=U252</f>
        <v>1</v>
      </c>
      <c r="U252" s="69">
        <f>T251+U251</f>
        <v>7858104.8499999996</v>
      </c>
    </row>
    <row r="253" spans="2:21" s="53" customFormat="1" ht="22.5" hidden="1" customHeight="1">
      <c r="B253" s="92">
        <v>244</v>
      </c>
      <c r="C253" s="59" t="s">
        <v>409</v>
      </c>
      <c r="D253" s="274" t="s">
        <v>322</v>
      </c>
      <c r="E253" s="275"/>
      <c r="F253" s="134">
        <v>1</v>
      </c>
      <c r="G253" s="143">
        <v>0</v>
      </c>
      <c r="H253" s="143">
        <f t="shared" ref="H253:H262" si="15">G253</f>
        <v>0</v>
      </c>
      <c r="I253" s="303" t="s">
        <v>9</v>
      </c>
      <c r="J253" s="304"/>
      <c r="K253" s="303" t="s">
        <v>9</v>
      </c>
      <c r="L253" s="304"/>
      <c r="M253" s="134" t="s">
        <v>9</v>
      </c>
      <c r="N253" s="134" t="s">
        <v>9</v>
      </c>
      <c r="O253" s="134" t="s">
        <v>9</v>
      </c>
      <c r="P253" s="215"/>
      <c r="Q253" s="125"/>
    </row>
    <row r="254" spans="2:21" s="53" customFormat="1" ht="17.25" hidden="1" customHeight="1">
      <c r="B254" s="92">
        <v>244</v>
      </c>
      <c r="C254" s="59" t="s">
        <v>323</v>
      </c>
      <c r="D254" s="274" t="s">
        <v>407</v>
      </c>
      <c r="E254" s="275"/>
      <c r="F254" s="134">
        <v>1</v>
      </c>
      <c r="G254" s="143">
        <v>0</v>
      </c>
      <c r="H254" s="143">
        <f t="shared" si="15"/>
        <v>0</v>
      </c>
      <c r="I254" s="273" t="s">
        <v>9</v>
      </c>
      <c r="J254" s="273"/>
      <c r="K254" s="273" t="s">
        <v>9</v>
      </c>
      <c r="L254" s="273"/>
      <c r="M254" s="134" t="s">
        <v>9</v>
      </c>
      <c r="N254" s="134" t="s">
        <v>9</v>
      </c>
      <c r="O254" s="134" t="s">
        <v>9</v>
      </c>
      <c r="P254" s="215"/>
      <c r="Q254" s="125"/>
    </row>
    <row r="255" spans="2:21" s="53" customFormat="1" ht="19.5" hidden="1" customHeight="1">
      <c r="B255" s="92">
        <v>244</v>
      </c>
      <c r="C255" s="59" t="s">
        <v>324</v>
      </c>
      <c r="D255" s="274" t="s">
        <v>406</v>
      </c>
      <c r="E255" s="275"/>
      <c r="F255" s="134">
        <v>1</v>
      </c>
      <c r="G255" s="143">
        <v>0</v>
      </c>
      <c r="H255" s="143">
        <f t="shared" si="15"/>
        <v>0</v>
      </c>
      <c r="I255" s="273" t="s">
        <v>9</v>
      </c>
      <c r="J255" s="273"/>
      <c r="K255" s="273" t="s">
        <v>9</v>
      </c>
      <c r="L255" s="273"/>
      <c r="M255" s="134" t="s">
        <v>9</v>
      </c>
      <c r="N255" s="134" t="s">
        <v>9</v>
      </c>
      <c r="O255" s="134" t="s">
        <v>9</v>
      </c>
      <c r="P255" s="202"/>
      <c r="Q255" s="125"/>
    </row>
    <row r="256" spans="2:21" s="53" customFormat="1" ht="19.5" hidden="1" customHeight="1">
      <c r="B256" s="174">
        <v>244</v>
      </c>
      <c r="C256" s="59" t="s">
        <v>410</v>
      </c>
      <c r="D256" s="274" t="s">
        <v>332</v>
      </c>
      <c r="E256" s="275"/>
      <c r="F256" s="134">
        <v>1</v>
      </c>
      <c r="G256" s="143">
        <v>0</v>
      </c>
      <c r="H256" s="143">
        <f t="shared" si="15"/>
        <v>0</v>
      </c>
      <c r="I256" s="273" t="s">
        <v>9</v>
      </c>
      <c r="J256" s="273"/>
      <c r="K256" s="273" t="s">
        <v>9</v>
      </c>
      <c r="L256" s="273"/>
      <c r="M256" s="134" t="s">
        <v>9</v>
      </c>
      <c r="N256" s="134" t="s">
        <v>9</v>
      </c>
      <c r="O256" s="134" t="s">
        <v>9</v>
      </c>
      <c r="P256" s="202"/>
      <c r="Q256" s="125"/>
    </row>
    <row r="257" spans="2:20" s="53" customFormat="1" ht="54" customHeight="1">
      <c r="B257" s="174">
        <v>244</v>
      </c>
      <c r="C257" s="59" t="s">
        <v>411</v>
      </c>
      <c r="D257" s="274" t="s">
        <v>440</v>
      </c>
      <c r="E257" s="275"/>
      <c r="F257" s="134">
        <v>1</v>
      </c>
      <c r="G257" s="143">
        <v>320547.08</v>
      </c>
      <c r="H257" s="143">
        <f t="shared" si="15"/>
        <v>320547.08</v>
      </c>
      <c r="I257" s="273" t="s">
        <v>9</v>
      </c>
      <c r="J257" s="273"/>
      <c r="K257" s="273" t="s">
        <v>9</v>
      </c>
      <c r="L257" s="273"/>
      <c r="M257" s="134" t="s">
        <v>9</v>
      </c>
      <c r="N257" s="134" t="s">
        <v>9</v>
      </c>
      <c r="O257" s="134" t="s">
        <v>9</v>
      </c>
      <c r="P257" s="202"/>
      <c r="Q257" s="125"/>
    </row>
    <row r="258" spans="2:20" s="53" customFormat="1" ht="24" hidden="1" customHeight="1">
      <c r="B258" s="174">
        <v>244</v>
      </c>
      <c r="C258" s="59" t="s">
        <v>412</v>
      </c>
      <c r="D258" s="274" t="s">
        <v>358</v>
      </c>
      <c r="E258" s="275"/>
      <c r="F258" s="134">
        <v>1</v>
      </c>
      <c r="G258" s="143">
        <v>0</v>
      </c>
      <c r="H258" s="143">
        <f t="shared" si="15"/>
        <v>0</v>
      </c>
      <c r="I258" s="273" t="s">
        <v>9</v>
      </c>
      <c r="J258" s="273"/>
      <c r="K258" s="273" t="s">
        <v>9</v>
      </c>
      <c r="L258" s="273"/>
      <c r="M258" s="134" t="s">
        <v>9</v>
      </c>
      <c r="N258" s="134" t="s">
        <v>9</v>
      </c>
      <c r="O258" s="134" t="s">
        <v>9</v>
      </c>
      <c r="P258" s="202"/>
      <c r="Q258" s="125"/>
    </row>
    <row r="259" spans="2:20" s="53" customFormat="1" ht="24" hidden="1" customHeight="1">
      <c r="B259" s="174">
        <v>244</v>
      </c>
      <c r="C259" s="59" t="s">
        <v>413</v>
      </c>
      <c r="D259" s="292" t="s">
        <v>405</v>
      </c>
      <c r="E259" s="293"/>
      <c r="F259" s="134">
        <v>1</v>
      </c>
      <c r="G259" s="143">
        <v>0</v>
      </c>
      <c r="H259" s="143">
        <f t="shared" si="15"/>
        <v>0</v>
      </c>
      <c r="I259" s="273" t="s">
        <v>9</v>
      </c>
      <c r="J259" s="273"/>
      <c r="K259" s="273" t="s">
        <v>9</v>
      </c>
      <c r="L259" s="273"/>
      <c r="M259" s="134" t="s">
        <v>9</v>
      </c>
      <c r="N259" s="134" t="s">
        <v>9</v>
      </c>
      <c r="O259" s="134" t="s">
        <v>9</v>
      </c>
      <c r="P259" s="202"/>
      <c r="Q259" s="125"/>
    </row>
    <row r="260" spans="2:20" s="53" customFormat="1" ht="24" hidden="1" customHeight="1">
      <c r="B260" s="174">
        <v>244</v>
      </c>
      <c r="C260" s="59" t="s">
        <v>414</v>
      </c>
      <c r="D260" s="292" t="s">
        <v>392</v>
      </c>
      <c r="E260" s="294"/>
      <c r="F260" s="134">
        <v>1</v>
      </c>
      <c r="G260" s="143">
        <v>0</v>
      </c>
      <c r="H260" s="143">
        <f t="shared" si="15"/>
        <v>0</v>
      </c>
      <c r="I260" s="273" t="s">
        <v>9</v>
      </c>
      <c r="J260" s="273"/>
      <c r="K260" s="273" t="s">
        <v>9</v>
      </c>
      <c r="L260" s="273"/>
      <c r="M260" s="134" t="s">
        <v>9</v>
      </c>
      <c r="N260" s="134" t="s">
        <v>9</v>
      </c>
      <c r="O260" s="134" t="s">
        <v>9</v>
      </c>
      <c r="P260" s="202"/>
      <c r="Q260" s="125"/>
    </row>
    <row r="261" spans="2:20" s="53" customFormat="1" ht="21.75" hidden="1" customHeight="1">
      <c r="B261" s="174">
        <v>244</v>
      </c>
      <c r="C261" s="59"/>
      <c r="D261" s="234" t="s">
        <v>381</v>
      </c>
      <c r="E261" s="235"/>
      <c r="F261" s="134">
        <v>1</v>
      </c>
      <c r="G261" s="143"/>
      <c r="H261" s="143">
        <f t="shared" si="15"/>
        <v>0</v>
      </c>
      <c r="I261" s="273" t="s">
        <v>9</v>
      </c>
      <c r="J261" s="273"/>
      <c r="K261" s="273" t="s">
        <v>9</v>
      </c>
      <c r="L261" s="273"/>
      <c r="M261" s="134" t="s">
        <v>9</v>
      </c>
      <c r="N261" s="134" t="s">
        <v>9</v>
      </c>
      <c r="O261" s="134" t="s">
        <v>9</v>
      </c>
      <c r="P261" s="202"/>
      <c r="Q261" s="236" t="s">
        <v>380</v>
      </c>
    </row>
    <row r="262" spans="2:20" s="53" customFormat="1" ht="35.25" hidden="1" customHeight="1">
      <c r="B262" s="174">
        <v>244</v>
      </c>
      <c r="C262" s="59" t="s">
        <v>415</v>
      </c>
      <c r="D262" s="274" t="s">
        <v>379</v>
      </c>
      <c r="E262" s="275"/>
      <c r="F262" s="134">
        <v>1</v>
      </c>
      <c r="G262" s="143">
        <v>0</v>
      </c>
      <c r="H262" s="143">
        <f t="shared" si="15"/>
        <v>0</v>
      </c>
      <c r="I262" s="273" t="s">
        <v>9</v>
      </c>
      <c r="J262" s="273"/>
      <c r="K262" s="273" t="s">
        <v>9</v>
      </c>
      <c r="L262" s="273"/>
      <c r="M262" s="134" t="s">
        <v>9</v>
      </c>
      <c r="N262" s="134" t="s">
        <v>9</v>
      </c>
      <c r="O262" s="134" t="s">
        <v>9</v>
      </c>
      <c r="P262" s="215"/>
      <c r="Q262" s="144" t="s">
        <v>308</v>
      </c>
      <c r="R262" s="49"/>
    </row>
    <row r="263" spans="2:20" s="248" customFormat="1" ht="30.75" customHeight="1">
      <c r="B263" s="74"/>
      <c r="C263" s="289" t="s">
        <v>23</v>
      </c>
      <c r="D263" s="290"/>
      <c r="E263" s="291"/>
      <c r="F263" s="242" t="s">
        <v>9</v>
      </c>
      <c r="G263" s="242" t="s">
        <v>9</v>
      </c>
      <c r="H263" s="243">
        <f>H247+H248+H251+H262+H250+H261+H249</f>
        <v>7858104.8499999996</v>
      </c>
      <c r="I263" s="282">
        <f>T247</f>
        <v>10000</v>
      </c>
      <c r="J263" s="282"/>
      <c r="K263" s="282">
        <f>T250</f>
        <v>5586447.7699999996</v>
      </c>
      <c r="L263" s="282"/>
      <c r="M263" s="243">
        <v>0</v>
      </c>
      <c r="N263" s="243">
        <f>T248+U248</f>
        <v>2261657.08</v>
      </c>
      <c r="O263" s="241">
        <v>0</v>
      </c>
      <c r="P263" s="245"/>
      <c r="Q263" s="144" t="s">
        <v>303</v>
      </c>
      <c r="R263" s="49"/>
      <c r="S263" s="246">
        <f>SUM(I263:N263)</f>
        <v>7858104.8499999996</v>
      </c>
      <c r="T263" s="247">
        <f>S263-H263</f>
        <v>0</v>
      </c>
    </row>
    <row r="264" spans="2:20" s="53" customFormat="1" ht="15.75" customHeight="1">
      <c r="B264" s="52"/>
      <c r="C264" s="52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5"/>
      <c r="S264" s="53" t="b">
        <f>S263=H263</f>
        <v>1</v>
      </c>
    </row>
    <row r="265" spans="2:20" ht="15" customHeight="1"/>
    <row r="266" spans="2:20" ht="15" customHeight="1"/>
    <row r="267" spans="2:20" ht="15" customHeight="1"/>
    <row r="268" spans="2:20" ht="15" customHeight="1"/>
    <row r="269" spans="2:20" ht="15" customHeight="1">
      <c r="D269" s="211">
        <f>F269-H269</f>
        <v>0</v>
      </c>
      <c r="E269" s="161" t="s">
        <v>309</v>
      </c>
      <c r="F269" s="145">
        <f>L16+G25+I34+I43+H58+H69+I81+F90+F99+H110+H119+I130+H139+J152+H172+H203+H212+H240+I263</f>
        <v>60433815.450000003</v>
      </c>
      <c r="G269" s="125" t="b">
        <f>F269=H269</f>
        <v>1</v>
      </c>
      <c r="H269" s="160">
        <f>'Раздел 1'!D15+'Раздел 1'!D28</f>
        <v>60433815.450000003</v>
      </c>
      <c r="I269" s="237" t="s">
        <v>314</v>
      </c>
      <c r="J269" s="125">
        <v>111</v>
      </c>
      <c r="K269" s="194">
        <f>K16+E25</f>
        <v>30419192.389999997</v>
      </c>
      <c r="L269" s="125">
        <f>'Раздел 1'!D31</f>
        <v>30419192.390000001</v>
      </c>
      <c r="M269" s="125" t="b">
        <f>K269=L269</f>
        <v>1</v>
      </c>
      <c r="N269" s="194">
        <f>K269-L269</f>
        <v>0</v>
      </c>
    </row>
    <row r="270" spans="2:20" ht="15" customHeight="1">
      <c r="D270" s="211">
        <f>F270-H270</f>
        <v>0</v>
      </c>
      <c r="E270" s="161" t="s">
        <v>304</v>
      </c>
      <c r="F270" s="145">
        <f>M16+I25+K34+K43+J58+J69+K81+H90+H99+J110+J119+K130+J139+L152+J172+J203+J212+J240+K263+J220</f>
        <v>6047999.7699999996</v>
      </c>
      <c r="G270" s="125" t="b">
        <f>F270=H270</f>
        <v>1</v>
      </c>
      <c r="H270" s="161">
        <f>'Раздел 1'!D20</f>
        <v>6047999.7699999996</v>
      </c>
      <c r="J270" s="125">
        <v>112</v>
      </c>
      <c r="K270" s="211">
        <f>H34</f>
        <v>0</v>
      </c>
      <c r="L270" s="125">
        <f>'Раздел 1'!D33</f>
        <v>0</v>
      </c>
      <c r="M270" s="125" t="b">
        <f t="shared" ref="M270:M278" si="16">K270=L270</f>
        <v>1</v>
      </c>
      <c r="N270" s="194">
        <f t="shared" ref="N270:N276" si="17">K270-L270</f>
        <v>0</v>
      </c>
    </row>
    <row r="271" spans="2:20" ht="15" customHeight="1">
      <c r="D271" s="211">
        <f>F271-H271</f>
        <v>0</v>
      </c>
      <c r="E271" s="161" t="s">
        <v>290</v>
      </c>
      <c r="F271" s="146">
        <f>O16+L25+N34+N43+M58+M69+N81+K90+K99+N110+N119+N130+M139+O152+M172+M203+M212+M240+N263</f>
        <v>2427217.08</v>
      </c>
      <c r="G271" s="125" t="b">
        <f>F271=H271</f>
        <v>1</v>
      </c>
      <c r="H271" s="160">
        <f>'Раздел 1'!D16+F277-'Раздел 1'!D10</f>
        <v>2427217.08</v>
      </c>
      <c r="J271" s="125">
        <v>113</v>
      </c>
      <c r="K271" s="125">
        <f>H43</f>
        <v>0</v>
      </c>
      <c r="L271" s="125">
        <f>'Раздел 1'!D34</f>
        <v>0</v>
      </c>
      <c r="M271" s="125" t="b">
        <f t="shared" si="16"/>
        <v>1</v>
      </c>
      <c r="N271" s="194">
        <f t="shared" si="17"/>
        <v>0</v>
      </c>
    </row>
    <row r="272" spans="2:20" ht="15" customHeight="1">
      <c r="E272" s="161" t="s">
        <v>7</v>
      </c>
      <c r="F272" s="146">
        <f>SUM(F269:F271)</f>
        <v>68909032.299999997</v>
      </c>
      <c r="G272" s="146">
        <f t="shared" ref="G272" si="18">SUM(G269:G271)</f>
        <v>0</v>
      </c>
      <c r="H272" s="146">
        <f>SUM(H269:H271)</f>
        <v>68909032.299999997</v>
      </c>
      <c r="J272" s="125">
        <v>119</v>
      </c>
      <c r="K272" s="211">
        <f>G58</f>
        <v>9186539.3900000006</v>
      </c>
      <c r="L272" s="194">
        <f>'Раздел 1'!D35</f>
        <v>9186539.3900000006</v>
      </c>
      <c r="M272" s="125" t="b">
        <f t="shared" si="16"/>
        <v>1</v>
      </c>
      <c r="N272" s="194">
        <f t="shared" si="17"/>
        <v>0</v>
      </c>
    </row>
    <row r="273" spans="5:14" ht="15" customHeight="1">
      <c r="J273" s="125">
        <v>851</v>
      </c>
      <c r="K273" s="211">
        <f>H81</f>
        <v>279873</v>
      </c>
      <c r="L273" s="125">
        <f>'Раздел 1'!D47</f>
        <v>279873</v>
      </c>
      <c r="M273" s="125" t="b">
        <f t="shared" si="16"/>
        <v>1</v>
      </c>
      <c r="N273" s="194">
        <f t="shared" si="17"/>
        <v>0</v>
      </c>
    </row>
    <row r="274" spans="5:14" ht="15" customHeight="1">
      <c r="J274" s="125">
        <v>852</v>
      </c>
      <c r="K274" s="211">
        <f>E90</f>
        <v>0</v>
      </c>
      <c r="L274" s="125">
        <f>'Раздел 1'!D48</f>
        <v>0</v>
      </c>
      <c r="M274" s="125" t="b">
        <f t="shared" si="16"/>
        <v>1</v>
      </c>
      <c r="N274" s="194">
        <f t="shared" si="17"/>
        <v>0</v>
      </c>
    </row>
    <row r="275" spans="5:14" ht="15" customHeight="1">
      <c r="J275" s="125">
        <v>853</v>
      </c>
      <c r="K275" s="211">
        <f>E99</f>
        <v>0</v>
      </c>
      <c r="L275" s="125">
        <f>'Раздел 1'!D49</f>
        <v>0</v>
      </c>
      <c r="M275" s="125" t="b">
        <f t="shared" si="16"/>
        <v>1</v>
      </c>
      <c r="N275" s="194">
        <f t="shared" si="17"/>
        <v>0</v>
      </c>
    </row>
    <row r="276" spans="5:14" ht="15" customHeight="1">
      <c r="J276" s="125">
        <v>243</v>
      </c>
      <c r="K276" s="211">
        <f>G110+G119</f>
        <v>0</v>
      </c>
      <c r="M276" s="125" t="b">
        <f t="shared" si="16"/>
        <v>1</v>
      </c>
      <c r="N276" s="194">
        <f t="shared" si="17"/>
        <v>0</v>
      </c>
    </row>
    <row r="277" spans="5:14" ht="15" customHeight="1">
      <c r="E277" s="237" t="s">
        <v>393</v>
      </c>
      <c r="F277" s="164">
        <f>'Раздел 1'!D9</f>
        <v>39401.06</v>
      </c>
      <c r="J277" s="125">
        <v>244</v>
      </c>
      <c r="K277" s="194">
        <f>H130+G139+I152+G172+G203+G212+G240+H263+G220</f>
        <v>29023427.519999996</v>
      </c>
      <c r="L277" s="194">
        <f>'Раздел 1'!D57</f>
        <v>29023427.52</v>
      </c>
      <c r="M277" s="125" t="b">
        <f t="shared" si="16"/>
        <v>1</v>
      </c>
      <c r="N277" s="194">
        <f>K277-L277</f>
        <v>0</v>
      </c>
    </row>
    <row r="278" spans="5:14" ht="15" customHeight="1">
      <c r="J278" s="125" t="s">
        <v>315</v>
      </c>
      <c r="K278" s="194">
        <f>SUM(K269:K277)</f>
        <v>68909032.299999997</v>
      </c>
      <c r="L278" s="194">
        <f>SUM(L269:L277)</f>
        <v>68909032.299999997</v>
      </c>
      <c r="M278" s="125" t="b">
        <f t="shared" si="16"/>
        <v>1</v>
      </c>
      <c r="N278" s="194">
        <f>K278-L278</f>
        <v>0</v>
      </c>
    </row>
    <row r="279" spans="5:14" ht="15" customHeight="1">
      <c r="K279" s="125" t="b">
        <f>F272=K278</f>
        <v>1</v>
      </c>
    </row>
    <row r="280" spans="5:14" ht="15" customHeight="1">
      <c r="K280" s="125" t="b">
        <f>K278=H272</f>
        <v>1</v>
      </c>
    </row>
    <row r="281" spans="5:14" ht="15" customHeight="1"/>
    <row r="282" spans="5:14" ht="15" customHeight="1"/>
    <row r="283" spans="5:14" ht="15" customHeight="1"/>
    <row r="284" spans="5:14" ht="15" customHeight="1"/>
    <row r="285" spans="5:14" ht="15" customHeight="1"/>
    <row r="286" spans="5:14" ht="15" customHeight="1"/>
    <row r="287" spans="5:14" ht="15" customHeight="1"/>
    <row r="288" spans="5:1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  <row r="399754" ht="15" customHeight="1"/>
    <row r="399755" ht="15" customHeight="1"/>
    <row r="399756" ht="15" customHeight="1"/>
    <row r="399757" ht="15" customHeight="1"/>
    <row r="399758" ht="15" customHeight="1"/>
    <row r="399759" ht="15" customHeight="1"/>
    <row r="399760" ht="15" customHeight="1"/>
    <row r="399761" ht="15" customHeight="1"/>
    <row r="399762" ht="15" customHeight="1"/>
    <row r="399763" ht="15" customHeight="1"/>
    <row r="399764" ht="15" customHeight="1"/>
  </sheetData>
  <mergeCells count="531">
    <mergeCell ref="C16:D16"/>
    <mergeCell ref="C18:N18"/>
    <mergeCell ref="B20:B22"/>
    <mergeCell ref="C20:C22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O10:P10"/>
    <mergeCell ref="N10:N11"/>
    <mergeCell ref="F10:F11"/>
    <mergeCell ref="G10:I10"/>
    <mergeCell ref="K10:K11"/>
    <mergeCell ref="L10:L11"/>
    <mergeCell ref="M10:M11"/>
    <mergeCell ref="N21:O21"/>
    <mergeCell ref="E24:F24"/>
    <mergeCell ref="G24:H24"/>
    <mergeCell ref="I24:J24"/>
    <mergeCell ref="C25:D25"/>
    <mergeCell ref="E25:F25"/>
    <mergeCell ref="G25:H25"/>
    <mergeCell ref="I25:J25"/>
    <mergeCell ref="K21:K22"/>
    <mergeCell ref="L21:M21"/>
    <mergeCell ref="D20:D22"/>
    <mergeCell ref="E20:F22"/>
    <mergeCell ref="G20:M20"/>
    <mergeCell ref="G21:H22"/>
    <mergeCell ref="I21:J22"/>
    <mergeCell ref="E23:F23"/>
    <mergeCell ref="G23:H23"/>
    <mergeCell ref="I23:J23"/>
    <mergeCell ref="K30:L31"/>
    <mergeCell ref="M30:M31"/>
    <mergeCell ref="N30:O30"/>
    <mergeCell ref="Q30:S30"/>
    <mergeCell ref="I32:J32"/>
    <mergeCell ref="K32:L32"/>
    <mergeCell ref="C27:N27"/>
    <mergeCell ref="B29:B31"/>
    <mergeCell ref="C29:C31"/>
    <mergeCell ref="D29:D31"/>
    <mergeCell ref="E29:E31"/>
    <mergeCell ref="F29:F31"/>
    <mergeCell ref="G29:G31"/>
    <mergeCell ref="I29:O29"/>
    <mergeCell ref="H30:H31"/>
    <mergeCell ref="I30:J31"/>
    <mergeCell ref="I33:J33"/>
    <mergeCell ref="K33:L33"/>
    <mergeCell ref="I34:J34"/>
    <mergeCell ref="K34:L34"/>
    <mergeCell ref="C36:N36"/>
    <mergeCell ref="B38:B40"/>
    <mergeCell ref="C38:C40"/>
    <mergeCell ref="D38:D40"/>
    <mergeCell ref="E38:E40"/>
    <mergeCell ref="F38:F40"/>
    <mergeCell ref="Q39:S39"/>
    <mergeCell ref="I41:J41"/>
    <mergeCell ref="K41:L41"/>
    <mergeCell ref="I42:J42"/>
    <mergeCell ref="K42:L42"/>
    <mergeCell ref="I43:J43"/>
    <mergeCell ref="K43:L43"/>
    <mergeCell ref="G38:G40"/>
    <mergeCell ref="I38:O38"/>
    <mergeCell ref="H39:H40"/>
    <mergeCell ref="I39:J40"/>
    <mergeCell ref="K39:L40"/>
    <mergeCell ref="M39:M40"/>
    <mergeCell ref="N39:O39"/>
    <mergeCell ref="L48:L49"/>
    <mergeCell ref="M48:N48"/>
    <mergeCell ref="H50:I50"/>
    <mergeCell ref="J50:K50"/>
    <mergeCell ref="H51:I51"/>
    <mergeCell ref="J51:K51"/>
    <mergeCell ref="C45:N45"/>
    <mergeCell ref="B47:B49"/>
    <mergeCell ref="C47:C49"/>
    <mergeCell ref="D47:D49"/>
    <mergeCell ref="E47:E49"/>
    <mergeCell ref="F47:F49"/>
    <mergeCell ref="G47:G49"/>
    <mergeCell ref="H47:N47"/>
    <mergeCell ref="H48:I49"/>
    <mergeCell ref="J48:K49"/>
    <mergeCell ref="H55:I55"/>
    <mergeCell ref="J55:K55"/>
    <mergeCell ref="H56:I56"/>
    <mergeCell ref="J56:K56"/>
    <mergeCell ref="H57:I57"/>
    <mergeCell ref="J57:K57"/>
    <mergeCell ref="H52:I52"/>
    <mergeCell ref="J52:K52"/>
    <mergeCell ref="H53:I53"/>
    <mergeCell ref="J53:K53"/>
    <mergeCell ref="H54:I54"/>
    <mergeCell ref="J54:K54"/>
    <mergeCell ref="H58:I58"/>
    <mergeCell ref="J58:K58"/>
    <mergeCell ref="B60:M60"/>
    <mergeCell ref="C62:M62"/>
    <mergeCell ref="B64:B66"/>
    <mergeCell ref="C64:C66"/>
    <mergeCell ref="D64:D66"/>
    <mergeCell ref="E64:E66"/>
    <mergeCell ref="F64:F66"/>
    <mergeCell ref="H64:N64"/>
    <mergeCell ref="H68:I68"/>
    <mergeCell ref="J68:K68"/>
    <mergeCell ref="H69:I69"/>
    <mergeCell ref="J69:K69"/>
    <mergeCell ref="C71:N71"/>
    <mergeCell ref="C73:N73"/>
    <mergeCell ref="G65:G66"/>
    <mergeCell ref="H65:I66"/>
    <mergeCell ref="J65:K66"/>
    <mergeCell ref="L65:L66"/>
    <mergeCell ref="M65:N65"/>
    <mergeCell ref="H67:I67"/>
    <mergeCell ref="J67:K67"/>
    <mergeCell ref="I75:O75"/>
    <mergeCell ref="I76:J77"/>
    <mergeCell ref="K76:L77"/>
    <mergeCell ref="M76:M77"/>
    <mergeCell ref="N76:O76"/>
    <mergeCell ref="I78:J78"/>
    <mergeCell ref="K78:L78"/>
    <mergeCell ref="B75:B77"/>
    <mergeCell ref="C75:C77"/>
    <mergeCell ref="D75:D77"/>
    <mergeCell ref="E75:F77"/>
    <mergeCell ref="G75:G77"/>
    <mergeCell ref="H75:H76"/>
    <mergeCell ref="B85:B87"/>
    <mergeCell ref="C85:C87"/>
    <mergeCell ref="D85:D87"/>
    <mergeCell ref="E85:E87"/>
    <mergeCell ref="F85:L85"/>
    <mergeCell ref="F86:G87"/>
    <mergeCell ref="E79:F79"/>
    <mergeCell ref="I79:J79"/>
    <mergeCell ref="K79:L79"/>
    <mergeCell ref="E80:F80"/>
    <mergeCell ref="I80:J80"/>
    <mergeCell ref="K80:L80"/>
    <mergeCell ref="H86:I87"/>
    <mergeCell ref="J86:J87"/>
    <mergeCell ref="K86:L86"/>
    <mergeCell ref="N86:O86"/>
    <mergeCell ref="F88:G88"/>
    <mergeCell ref="H88:I88"/>
    <mergeCell ref="E81:F81"/>
    <mergeCell ref="I81:J81"/>
    <mergeCell ref="K81:L81"/>
    <mergeCell ref="C83:M83"/>
    <mergeCell ref="N95:O95"/>
    <mergeCell ref="F97:G97"/>
    <mergeCell ref="H97:I97"/>
    <mergeCell ref="F89:G89"/>
    <mergeCell ref="H89:I89"/>
    <mergeCell ref="F90:G90"/>
    <mergeCell ref="H90:I90"/>
    <mergeCell ref="C92:M92"/>
    <mergeCell ref="B94:B96"/>
    <mergeCell ref="C94:C96"/>
    <mergeCell ref="D94:D96"/>
    <mergeCell ref="E94:E96"/>
    <mergeCell ref="F94:L94"/>
    <mergeCell ref="F98:G98"/>
    <mergeCell ref="H98:I98"/>
    <mergeCell ref="F99:G99"/>
    <mergeCell ref="H99:I99"/>
    <mergeCell ref="C101:M101"/>
    <mergeCell ref="C103:M103"/>
    <mergeCell ref="F95:G96"/>
    <mergeCell ref="H95:I96"/>
    <mergeCell ref="J95:J96"/>
    <mergeCell ref="K95:L95"/>
    <mergeCell ref="N106:O106"/>
    <mergeCell ref="H108:I108"/>
    <mergeCell ref="J108:K108"/>
    <mergeCell ref="L108:M108"/>
    <mergeCell ref="H109:I109"/>
    <mergeCell ref="J109:K109"/>
    <mergeCell ref="L109:M109"/>
    <mergeCell ref="B105:B107"/>
    <mergeCell ref="C105:C107"/>
    <mergeCell ref="D105:D107"/>
    <mergeCell ref="E105:E107"/>
    <mergeCell ref="F105:F107"/>
    <mergeCell ref="H105:O105"/>
    <mergeCell ref="G106:G107"/>
    <mergeCell ref="H106:I107"/>
    <mergeCell ref="J106:K107"/>
    <mergeCell ref="L106:M107"/>
    <mergeCell ref="N115:O115"/>
    <mergeCell ref="H117:I117"/>
    <mergeCell ref="J117:K117"/>
    <mergeCell ref="L117:M117"/>
    <mergeCell ref="H110:I110"/>
    <mergeCell ref="J110:K110"/>
    <mergeCell ref="L110:M110"/>
    <mergeCell ref="C112:M112"/>
    <mergeCell ref="B114:B116"/>
    <mergeCell ref="C114:C116"/>
    <mergeCell ref="D114:D116"/>
    <mergeCell ref="E114:E116"/>
    <mergeCell ref="F114:F116"/>
    <mergeCell ref="H114:O114"/>
    <mergeCell ref="H118:I118"/>
    <mergeCell ref="J118:K118"/>
    <mergeCell ref="L118:M118"/>
    <mergeCell ref="H119:I119"/>
    <mergeCell ref="J119:K119"/>
    <mergeCell ref="L119:M119"/>
    <mergeCell ref="G115:G116"/>
    <mergeCell ref="H115:I116"/>
    <mergeCell ref="J115:K116"/>
    <mergeCell ref="L115:M116"/>
    <mergeCell ref="N125:O125"/>
    <mergeCell ref="I127:J127"/>
    <mergeCell ref="K127:L127"/>
    <mergeCell ref="E120:M120"/>
    <mergeCell ref="E122:M122"/>
    <mergeCell ref="B124:B126"/>
    <mergeCell ref="C124:C126"/>
    <mergeCell ref="D124:D126"/>
    <mergeCell ref="E124:E126"/>
    <mergeCell ref="F124:F126"/>
    <mergeCell ref="G124:G126"/>
    <mergeCell ref="I124:O124"/>
    <mergeCell ref="H125:H126"/>
    <mergeCell ref="I128:J128"/>
    <mergeCell ref="K128:L128"/>
    <mergeCell ref="I129:J129"/>
    <mergeCell ref="K129:L129"/>
    <mergeCell ref="I130:J130"/>
    <mergeCell ref="K130:L130"/>
    <mergeCell ref="I125:J126"/>
    <mergeCell ref="K125:L126"/>
    <mergeCell ref="M125:M126"/>
    <mergeCell ref="L135:L136"/>
    <mergeCell ref="M135:N135"/>
    <mergeCell ref="H137:I137"/>
    <mergeCell ref="J137:K137"/>
    <mergeCell ref="H138:I138"/>
    <mergeCell ref="J138:K138"/>
    <mergeCell ref="E132:M132"/>
    <mergeCell ref="B134:B136"/>
    <mergeCell ref="C134:C136"/>
    <mergeCell ref="D134:D136"/>
    <mergeCell ref="E134:E136"/>
    <mergeCell ref="F134:F136"/>
    <mergeCell ref="H134:N134"/>
    <mergeCell ref="G135:G136"/>
    <mergeCell ref="H135:I136"/>
    <mergeCell ref="J135:K136"/>
    <mergeCell ref="N144:N145"/>
    <mergeCell ref="O144:P144"/>
    <mergeCell ref="D146:E146"/>
    <mergeCell ref="J146:K146"/>
    <mergeCell ref="L146:M146"/>
    <mergeCell ref="H139:I139"/>
    <mergeCell ref="J139:K139"/>
    <mergeCell ref="E141:M141"/>
    <mergeCell ref="B143:B145"/>
    <mergeCell ref="C143:C145"/>
    <mergeCell ref="D143:E145"/>
    <mergeCell ref="F143:F145"/>
    <mergeCell ref="G143:G145"/>
    <mergeCell ref="H143:H145"/>
    <mergeCell ref="J143:P143"/>
    <mergeCell ref="D147:E147"/>
    <mergeCell ref="J147:K147"/>
    <mergeCell ref="L147:M147"/>
    <mergeCell ref="I144:I145"/>
    <mergeCell ref="J144:K145"/>
    <mergeCell ref="L144:M145"/>
    <mergeCell ref="D150:E150"/>
    <mergeCell ref="J150:K150"/>
    <mergeCell ref="L150:M150"/>
    <mergeCell ref="D151:E151"/>
    <mergeCell ref="J151:K151"/>
    <mergeCell ref="L151:M151"/>
    <mergeCell ref="D148:E148"/>
    <mergeCell ref="J148:K148"/>
    <mergeCell ref="L148:M148"/>
    <mergeCell ref="D149:E149"/>
    <mergeCell ref="J149:K149"/>
    <mergeCell ref="L149:M149"/>
    <mergeCell ref="L157:L158"/>
    <mergeCell ref="M157:N157"/>
    <mergeCell ref="H159:I159"/>
    <mergeCell ref="J159:K159"/>
    <mergeCell ref="C152:E152"/>
    <mergeCell ref="J152:K152"/>
    <mergeCell ref="L152:M152"/>
    <mergeCell ref="C154:M154"/>
    <mergeCell ref="B156:B158"/>
    <mergeCell ref="C156:C158"/>
    <mergeCell ref="D156:D158"/>
    <mergeCell ref="E156:E158"/>
    <mergeCell ref="F156:F158"/>
    <mergeCell ref="H156:N156"/>
    <mergeCell ref="H160:I160"/>
    <mergeCell ref="J160:K160"/>
    <mergeCell ref="H162:I162"/>
    <mergeCell ref="J162:K162"/>
    <mergeCell ref="H163:I163"/>
    <mergeCell ref="J163:K163"/>
    <mergeCell ref="G157:G158"/>
    <mergeCell ref="H157:I158"/>
    <mergeCell ref="J157:K158"/>
    <mergeCell ref="H161:I161"/>
    <mergeCell ref="J161:K161"/>
    <mergeCell ref="H164:I164"/>
    <mergeCell ref="J164:K164"/>
    <mergeCell ref="H169:I169"/>
    <mergeCell ref="J169:K169"/>
    <mergeCell ref="H170:I170"/>
    <mergeCell ref="J170:K170"/>
    <mergeCell ref="H171:I171"/>
    <mergeCell ref="J171:K171"/>
    <mergeCell ref="C172:D172"/>
    <mergeCell ref="H172:I172"/>
    <mergeCell ref="J172:K172"/>
    <mergeCell ref="H166:I166"/>
    <mergeCell ref="H167:I167"/>
    <mergeCell ref="J166:K166"/>
    <mergeCell ref="J167:K167"/>
    <mergeCell ref="H165:I165"/>
    <mergeCell ref="J165:K165"/>
    <mergeCell ref="H168:I168"/>
    <mergeCell ref="J168:K168"/>
    <mergeCell ref="L177:L178"/>
    <mergeCell ref="M177:N177"/>
    <mergeCell ref="H179:I179"/>
    <mergeCell ref="J179:K179"/>
    <mergeCell ref="H180:I180"/>
    <mergeCell ref="J180:K180"/>
    <mergeCell ref="C174:M174"/>
    <mergeCell ref="B176:B178"/>
    <mergeCell ref="C176:C178"/>
    <mergeCell ref="D176:D178"/>
    <mergeCell ref="E176:E178"/>
    <mergeCell ref="F176:F178"/>
    <mergeCell ref="H176:N176"/>
    <mergeCell ref="G177:G178"/>
    <mergeCell ref="H177:I178"/>
    <mergeCell ref="J177:K178"/>
    <mergeCell ref="H184:I184"/>
    <mergeCell ref="J184:K184"/>
    <mergeCell ref="H185:I185"/>
    <mergeCell ref="J185:K185"/>
    <mergeCell ref="H186:I186"/>
    <mergeCell ref="J186:K186"/>
    <mergeCell ref="J192:K192"/>
    <mergeCell ref="H181:I181"/>
    <mergeCell ref="J181:K181"/>
    <mergeCell ref="H182:I182"/>
    <mergeCell ref="J182:K182"/>
    <mergeCell ref="H183:I183"/>
    <mergeCell ref="J183:K183"/>
    <mergeCell ref="H192:I192"/>
    <mergeCell ref="H187:I187"/>
    <mergeCell ref="J187:K187"/>
    <mergeCell ref="H188:I188"/>
    <mergeCell ref="J188:K188"/>
    <mergeCell ref="H189:I189"/>
    <mergeCell ref="J189:K189"/>
    <mergeCell ref="H190:I190"/>
    <mergeCell ref="J190:K190"/>
    <mergeCell ref="H191:I191"/>
    <mergeCell ref="J191:K191"/>
    <mergeCell ref="B207:B209"/>
    <mergeCell ref="C207:C209"/>
    <mergeCell ref="D207:D209"/>
    <mergeCell ref="E207:E209"/>
    <mergeCell ref="F207:F209"/>
    <mergeCell ref="H207:N207"/>
    <mergeCell ref="G208:G209"/>
    <mergeCell ref="H208:I209"/>
    <mergeCell ref="J208:K209"/>
    <mergeCell ref="M208:N208"/>
    <mergeCell ref="L208:L209"/>
    <mergeCell ref="B215:B217"/>
    <mergeCell ref="C215:C217"/>
    <mergeCell ref="D215:D217"/>
    <mergeCell ref="E215:E217"/>
    <mergeCell ref="F215:F217"/>
    <mergeCell ref="H215:N215"/>
    <mergeCell ref="G216:G217"/>
    <mergeCell ref="H216:I217"/>
    <mergeCell ref="J216:K217"/>
    <mergeCell ref="M216:N216"/>
    <mergeCell ref="B224:B226"/>
    <mergeCell ref="C224:C226"/>
    <mergeCell ref="D224:D226"/>
    <mergeCell ref="E224:E226"/>
    <mergeCell ref="F224:F226"/>
    <mergeCell ref="H224:N224"/>
    <mergeCell ref="G225:G226"/>
    <mergeCell ref="H225:I226"/>
    <mergeCell ref="J225:K226"/>
    <mergeCell ref="L225:L226"/>
    <mergeCell ref="M225:N225"/>
    <mergeCell ref="K258:L258"/>
    <mergeCell ref="B243:B245"/>
    <mergeCell ref="C243:C245"/>
    <mergeCell ref="D243:E245"/>
    <mergeCell ref="F243:F245"/>
    <mergeCell ref="G243:G245"/>
    <mergeCell ref="I243:O243"/>
    <mergeCell ref="H244:H245"/>
    <mergeCell ref="I244:J245"/>
    <mergeCell ref="K244:L245"/>
    <mergeCell ref="M244:M245"/>
    <mergeCell ref="N244:O244"/>
    <mergeCell ref="D258:E258"/>
    <mergeCell ref="I254:J254"/>
    <mergeCell ref="K254:L254"/>
    <mergeCell ref="K248:L248"/>
    <mergeCell ref="K252:L252"/>
    <mergeCell ref="D253:E253"/>
    <mergeCell ref="I253:J253"/>
    <mergeCell ref="K253:L253"/>
    <mergeCell ref="D251:E251"/>
    <mergeCell ref="I251:J251"/>
    <mergeCell ref="K251:L251"/>
    <mergeCell ref="D248:E248"/>
    <mergeCell ref="D262:E262"/>
    <mergeCell ref="I262:J262"/>
    <mergeCell ref="K262:L262"/>
    <mergeCell ref="C263:E263"/>
    <mergeCell ref="I263:J263"/>
    <mergeCell ref="K263:L263"/>
    <mergeCell ref="D255:E255"/>
    <mergeCell ref="I255:J255"/>
    <mergeCell ref="K255:L255"/>
    <mergeCell ref="D257:E257"/>
    <mergeCell ref="I257:J257"/>
    <mergeCell ref="K257:L257"/>
    <mergeCell ref="I256:J256"/>
    <mergeCell ref="K256:L256"/>
    <mergeCell ref="D259:E259"/>
    <mergeCell ref="D260:E260"/>
    <mergeCell ref="I259:J259"/>
    <mergeCell ref="I260:J260"/>
    <mergeCell ref="K259:L259"/>
    <mergeCell ref="K260:L260"/>
    <mergeCell ref="I261:J261"/>
    <mergeCell ref="K261:L261"/>
    <mergeCell ref="I258:J258"/>
    <mergeCell ref="D256:E256"/>
    <mergeCell ref="H219:I219"/>
    <mergeCell ref="J219:K219"/>
    <mergeCell ref="C220:D220"/>
    <mergeCell ref="H220:I220"/>
    <mergeCell ref="J220:K220"/>
    <mergeCell ref="C212:D212"/>
    <mergeCell ref="H212:I212"/>
    <mergeCell ref="J212:K212"/>
    <mergeCell ref="L216:L217"/>
    <mergeCell ref="H198:I198"/>
    <mergeCell ref="H199:I199"/>
    <mergeCell ref="J194:K194"/>
    <mergeCell ref="J195:K195"/>
    <mergeCell ref="J196:K196"/>
    <mergeCell ref="I252:J252"/>
    <mergeCell ref="H210:I210"/>
    <mergeCell ref="J210:K210"/>
    <mergeCell ref="H211:I211"/>
    <mergeCell ref="J211:K211"/>
    <mergeCell ref="C205:M205"/>
    <mergeCell ref="C203:D203"/>
    <mergeCell ref="H200:I200"/>
    <mergeCell ref="J200:K200"/>
    <mergeCell ref="H201:I201"/>
    <mergeCell ref="J201:K201"/>
    <mergeCell ref="J197:K197"/>
    <mergeCell ref="J198:K198"/>
    <mergeCell ref="J199:K199"/>
    <mergeCell ref="H202:I202"/>
    <mergeCell ref="J202:K202"/>
    <mergeCell ref="C213:M213"/>
    <mergeCell ref="H218:I218"/>
    <mergeCell ref="J218:K218"/>
    <mergeCell ref="H193:I193"/>
    <mergeCell ref="J193:K193"/>
    <mergeCell ref="H194:I194"/>
    <mergeCell ref="H195:I195"/>
    <mergeCell ref="D249:E249"/>
    <mergeCell ref="I249:J249"/>
    <mergeCell ref="K249:L249"/>
    <mergeCell ref="H228:I228"/>
    <mergeCell ref="J228:K228"/>
    <mergeCell ref="H229:I229"/>
    <mergeCell ref="J229:K229"/>
    <mergeCell ref="H227:I227"/>
    <mergeCell ref="J227:K227"/>
    <mergeCell ref="C222:M222"/>
    <mergeCell ref="H203:I203"/>
    <mergeCell ref="J203:K203"/>
    <mergeCell ref="C242:M242"/>
    <mergeCell ref="C240:D240"/>
    <mergeCell ref="H240:I240"/>
    <mergeCell ref="J240:K240"/>
    <mergeCell ref="D246:E246"/>
    <mergeCell ref="I246:J246"/>
    <mergeCell ref="H196:I196"/>
    <mergeCell ref="H197:I197"/>
    <mergeCell ref="I248:J248"/>
    <mergeCell ref="D254:E254"/>
    <mergeCell ref="D250:E250"/>
    <mergeCell ref="I250:J250"/>
    <mergeCell ref="K250:L250"/>
    <mergeCell ref="K246:L246"/>
    <mergeCell ref="D247:E247"/>
    <mergeCell ref="I247:J247"/>
    <mergeCell ref="K247:L247"/>
    <mergeCell ref="D252:E25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26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Куркина</cp:lastModifiedBy>
  <cp:lastPrinted>2023-10-10T10:23:44Z</cp:lastPrinted>
  <dcterms:created xsi:type="dcterms:W3CDTF">2017-01-05T07:07:42Z</dcterms:created>
  <dcterms:modified xsi:type="dcterms:W3CDTF">2024-02-05T10:55:29Z</dcterms:modified>
</cp:coreProperties>
</file>